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 activeTab="1"/>
  </bookViews>
  <sheets>
    <sheet name="для ФУ" sheetId="11" r:id="rId1"/>
    <sheet name="расчет свод" sheetId="7" r:id="rId2"/>
  </sheets>
  <definedNames>
    <definedName name="иные" localSheetId="0">#REF!</definedName>
    <definedName name="материальные_запасы_основные_средства" localSheetId="0">#REF!</definedName>
    <definedName name="_xlnm.Print_Area" localSheetId="0">'для ФУ'!$A$1:$N$11</definedName>
    <definedName name="_xlnm.Print_Area" localSheetId="1">'расчет свод'!$A$1:$AI$130</definedName>
    <definedName name="оплата_труда" localSheetId="0">#REF!</definedName>
    <definedName name="Список" localSheetId="0">#REF!</definedName>
  </definedNames>
  <calcPr calcId="124519"/>
</workbook>
</file>

<file path=xl/calcChain.xml><?xml version="1.0" encoding="utf-8"?>
<calcChain xmlns="http://schemas.openxmlformats.org/spreadsheetml/2006/main">
  <c r="X4" i="11"/>
  <c r="W4"/>
  <c r="V4"/>
  <c r="U4"/>
  <c r="T4"/>
  <c r="S4"/>
  <c r="R4"/>
  <c r="Q4"/>
  <c r="P4"/>
  <c r="P5" s="1"/>
  <c r="O4"/>
  <c r="O7" s="1"/>
  <c r="U7"/>
  <c r="Q7"/>
  <c r="U6"/>
  <c r="Q6"/>
  <c r="X5"/>
  <c r="U5"/>
  <c r="T5"/>
  <c r="T8" s="1"/>
  <c r="Q5"/>
  <c r="X7"/>
  <c r="W7"/>
  <c r="V6"/>
  <c r="T7"/>
  <c r="S7"/>
  <c r="R6"/>
  <c r="P7"/>
  <c r="AL115" i="7"/>
  <c r="F34"/>
  <c r="G34"/>
  <c r="J34" s="1"/>
  <c r="I34"/>
  <c r="S34"/>
  <c r="V34"/>
  <c r="R34"/>
  <c r="F33"/>
  <c r="G33" s="1"/>
  <c r="I33"/>
  <c r="R33"/>
  <c r="S33" s="1"/>
  <c r="V33" s="1"/>
  <c r="E32"/>
  <c r="E28"/>
  <c r="Q28"/>
  <c r="E27"/>
  <c r="Q27"/>
  <c r="Q26"/>
  <c r="E26"/>
  <c r="Q23"/>
  <c r="E23"/>
  <c r="Q21"/>
  <c r="E21"/>
  <c r="Q20"/>
  <c r="Q19"/>
  <c r="E20"/>
  <c r="E19"/>
  <c r="C36"/>
  <c r="B36"/>
  <c r="S26"/>
  <c r="V26" s="1"/>
  <c r="I26"/>
  <c r="G26"/>
  <c r="J26" s="1"/>
  <c r="C26"/>
  <c r="B26"/>
  <c r="Q25"/>
  <c r="E25"/>
  <c r="Q24"/>
  <c r="S24" s="1"/>
  <c r="V24" s="1"/>
  <c r="E24"/>
  <c r="AM24"/>
  <c r="AE24"/>
  <c r="AH24" s="1"/>
  <c r="AL24" s="1"/>
  <c r="I24"/>
  <c r="G24"/>
  <c r="J24" s="1"/>
  <c r="C24"/>
  <c r="B24"/>
  <c r="D102"/>
  <c r="P102"/>
  <c r="AF89"/>
  <c r="AF84"/>
  <c r="AF88"/>
  <c r="AF87"/>
  <c r="AF83"/>
  <c r="AF85"/>
  <c r="AF86"/>
  <c r="P83"/>
  <c r="D83"/>
  <c r="AJ83"/>
  <c r="AJ84"/>
  <c r="AJ85"/>
  <c r="AJ86"/>
  <c r="AJ87"/>
  <c r="AJ88"/>
  <c r="AJ89"/>
  <c r="AL60"/>
  <c r="AJ57"/>
  <c r="AL73"/>
  <c r="AF80"/>
  <c r="AG8"/>
  <c r="AF82"/>
  <c r="AF81"/>
  <c r="D82"/>
  <c r="P82"/>
  <c r="AB82"/>
  <c r="U9"/>
  <c r="U8"/>
  <c r="U13"/>
  <c r="U12"/>
  <c r="C13"/>
  <c r="C12"/>
  <c r="O13"/>
  <c r="O12"/>
  <c r="O9"/>
  <c r="C9"/>
  <c r="AG140"/>
  <c r="AF140"/>
  <c r="AE140"/>
  <c r="AJ117"/>
  <c r="AJ118"/>
  <c r="AJ119"/>
  <c r="AJ120"/>
  <c r="AJ121"/>
  <c r="AJ122"/>
  <c r="AJ123"/>
  <c r="AJ124"/>
  <c r="AJ125"/>
  <c r="AJ126"/>
  <c r="AJ127"/>
  <c r="A122"/>
  <c r="B122"/>
  <c r="C122"/>
  <c r="A123"/>
  <c r="B123"/>
  <c r="C123"/>
  <c r="A124"/>
  <c r="B124"/>
  <c r="C124"/>
  <c r="A125"/>
  <c r="B125"/>
  <c r="C125"/>
  <c r="A126"/>
  <c r="B126"/>
  <c r="C126"/>
  <c r="A127"/>
  <c r="E123"/>
  <c r="E124"/>
  <c r="E125" s="1"/>
  <c r="G116"/>
  <c r="G117"/>
  <c r="G118"/>
  <c r="G119"/>
  <c r="G120"/>
  <c r="G121"/>
  <c r="G122"/>
  <c r="G123"/>
  <c r="G124"/>
  <c r="H116"/>
  <c r="H117"/>
  <c r="J117" s="1"/>
  <c r="H118"/>
  <c r="H119"/>
  <c r="H120"/>
  <c r="H121"/>
  <c r="J121" s="1"/>
  <c r="H122"/>
  <c r="H123"/>
  <c r="H124"/>
  <c r="H125"/>
  <c r="H126"/>
  <c r="H127"/>
  <c r="J116"/>
  <c r="J118"/>
  <c r="J119"/>
  <c r="J120"/>
  <c r="J122"/>
  <c r="J123"/>
  <c r="J124"/>
  <c r="M123"/>
  <c r="N123"/>
  <c r="M124"/>
  <c r="N124"/>
  <c r="M125"/>
  <c r="N125"/>
  <c r="M126"/>
  <c r="N126"/>
  <c r="M127"/>
  <c r="N127"/>
  <c r="B127" s="1"/>
  <c r="O123"/>
  <c r="O124"/>
  <c r="O125"/>
  <c r="Q123"/>
  <c r="Q124"/>
  <c r="Q125" s="1"/>
  <c r="S116"/>
  <c r="S117"/>
  <c r="S118"/>
  <c r="S119"/>
  <c r="S120"/>
  <c r="S121"/>
  <c r="S122"/>
  <c r="S123"/>
  <c r="T116"/>
  <c r="T117"/>
  <c r="V117" s="1"/>
  <c r="T118"/>
  <c r="T119"/>
  <c r="T120"/>
  <c r="T121"/>
  <c r="T122"/>
  <c r="T123"/>
  <c r="T124"/>
  <c r="T125"/>
  <c r="T126"/>
  <c r="T127"/>
  <c r="V93"/>
  <c r="V94"/>
  <c r="V95"/>
  <c r="V96"/>
  <c r="V97"/>
  <c r="V100"/>
  <c r="V101"/>
  <c r="V103"/>
  <c r="V105"/>
  <c r="V107"/>
  <c r="V116"/>
  <c r="V118"/>
  <c r="V119"/>
  <c r="V120"/>
  <c r="V121"/>
  <c r="V122"/>
  <c r="V123"/>
  <c r="U8" i="11" l="1"/>
  <c r="Q8"/>
  <c r="S5"/>
  <c r="Y4"/>
  <c r="R5"/>
  <c r="V5"/>
  <c r="P6"/>
  <c r="P8" s="1"/>
  <c r="T6"/>
  <c r="X6"/>
  <c r="X8" s="1"/>
  <c r="R7"/>
  <c r="V7"/>
  <c r="O6"/>
  <c r="S6"/>
  <c r="W6"/>
  <c r="O5"/>
  <c r="W5"/>
  <c r="J33" i="7"/>
  <c r="AJ24"/>
  <c r="AK24"/>
  <c r="E126"/>
  <c r="G125"/>
  <c r="J125" s="1"/>
  <c r="Q126"/>
  <c r="S126" s="1"/>
  <c r="V126" s="1"/>
  <c r="S125"/>
  <c r="V125" s="1"/>
  <c r="S124"/>
  <c r="V124" s="1"/>
  <c r="O8" i="11" l="1"/>
  <c r="R8"/>
  <c r="V8"/>
  <c r="S8"/>
  <c r="W8"/>
  <c r="G126" i="7"/>
  <c r="J126" s="1"/>
  <c r="E127"/>
  <c r="G127" s="1"/>
  <c r="J127" s="1"/>
  <c r="P59" l="1"/>
  <c r="D59"/>
  <c r="P57"/>
  <c r="D57"/>
  <c r="P56"/>
  <c r="D56"/>
  <c r="P55"/>
  <c r="D55"/>
  <c r="P115"/>
  <c r="D115"/>
  <c r="P114"/>
  <c r="D114"/>
  <c r="P113"/>
  <c r="D113"/>
  <c r="P112"/>
  <c r="D112"/>
  <c r="P111"/>
  <c r="D111"/>
  <c r="P110"/>
  <c r="D110"/>
  <c r="P108"/>
  <c r="D108"/>
  <c r="P107"/>
  <c r="D107"/>
  <c r="P106"/>
  <c r="D106"/>
  <c r="P105"/>
  <c r="D105"/>
  <c r="P104"/>
  <c r="D104"/>
  <c r="P103"/>
  <c r="D103"/>
  <c r="P101"/>
  <c r="D101"/>
  <c r="P100"/>
  <c r="D100"/>
  <c r="P99"/>
  <c r="D99"/>
  <c r="P98"/>
  <c r="D98"/>
  <c r="P97"/>
  <c r="D97"/>
  <c r="P96"/>
  <c r="D96"/>
  <c r="P95"/>
  <c r="D95"/>
  <c r="P94"/>
  <c r="D94"/>
  <c r="P93"/>
  <c r="D93"/>
  <c r="P92"/>
  <c r="D92"/>
  <c r="P85"/>
  <c r="D85"/>
  <c r="P84"/>
  <c r="D84"/>
  <c r="P81"/>
  <c r="D81"/>
  <c r="P80"/>
  <c r="D80"/>
  <c r="P77"/>
  <c r="D77"/>
  <c r="P74"/>
  <c r="D74"/>
  <c r="P73"/>
  <c r="D73"/>
  <c r="P72"/>
  <c r="D72"/>
  <c r="P67"/>
  <c r="D67"/>
  <c r="P66"/>
  <c r="D66"/>
  <c r="P65"/>
  <c r="D65"/>
  <c r="P64"/>
  <c r="D64"/>
  <c r="P63"/>
  <c r="D63"/>
  <c r="P62"/>
  <c r="D62"/>
  <c r="Q49"/>
  <c r="E49"/>
  <c r="Q48"/>
  <c r="E48"/>
  <c r="Q47"/>
  <c r="E47"/>
  <c r="Q32"/>
  <c r="Q31"/>
  <c r="E31"/>
  <c r="Q30"/>
  <c r="E30"/>
  <c r="Q29"/>
  <c r="E29"/>
  <c r="Q22"/>
  <c r="E22"/>
  <c r="O11"/>
  <c r="C11"/>
  <c r="AY10"/>
  <c r="O10"/>
  <c r="C10"/>
  <c r="O8"/>
  <c r="C8"/>
  <c r="AH141"/>
  <c r="AH140"/>
  <c r="AE152" l="1"/>
  <c r="O93"/>
  <c r="O94"/>
  <c r="O95"/>
  <c r="O96"/>
  <c r="O97"/>
  <c r="O98"/>
  <c r="O99"/>
  <c r="O100"/>
  <c r="O101"/>
  <c r="O102"/>
  <c r="O103"/>
  <c r="O104"/>
  <c r="O105"/>
  <c r="O106"/>
  <c r="O107"/>
  <c r="O108"/>
  <c r="O109"/>
  <c r="C109" s="1"/>
  <c r="O110"/>
  <c r="O111"/>
  <c r="O112"/>
  <c r="O113"/>
  <c r="O114"/>
  <c r="O115"/>
  <c r="O116"/>
  <c r="O117"/>
  <c r="O118"/>
  <c r="O119"/>
  <c r="O120"/>
  <c r="O121"/>
  <c r="O122"/>
  <c r="O126"/>
  <c r="O127"/>
  <c r="C127" s="1"/>
  <c r="O92"/>
  <c r="C93"/>
  <c r="C94"/>
  <c r="C95"/>
  <c r="C96"/>
  <c r="C97"/>
  <c r="C98"/>
  <c r="C99"/>
  <c r="C100"/>
  <c r="C101"/>
  <c r="C102"/>
  <c r="C103"/>
  <c r="C104"/>
  <c r="C105"/>
  <c r="C106"/>
  <c r="C107"/>
  <c r="C108"/>
  <c r="C110"/>
  <c r="C111"/>
  <c r="C112"/>
  <c r="C113"/>
  <c r="C114"/>
  <c r="C115"/>
  <c r="C116"/>
  <c r="C117"/>
  <c r="C118"/>
  <c r="C119"/>
  <c r="C120"/>
  <c r="C121"/>
  <c r="C92"/>
  <c r="AP115"/>
  <c r="H107"/>
  <c r="T115"/>
  <c r="AL108"/>
  <c r="AP94"/>
  <c r="T107"/>
  <c r="M93"/>
  <c r="M94"/>
  <c r="M95"/>
  <c r="A95" s="1"/>
  <c r="M96"/>
  <c r="A96" s="1"/>
  <c r="M97"/>
  <c r="M98"/>
  <c r="M99"/>
  <c r="A99" s="1"/>
  <c r="M100"/>
  <c r="A100" s="1"/>
  <c r="M101"/>
  <c r="M102"/>
  <c r="M103"/>
  <c r="M104"/>
  <c r="A104" s="1"/>
  <c r="M105"/>
  <c r="M106"/>
  <c r="M107"/>
  <c r="A107" s="1"/>
  <c r="M108"/>
  <c r="A108" s="1"/>
  <c r="M109"/>
  <c r="M110"/>
  <c r="M111"/>
  <c r="A111" s="1"/>
  <c r="M112"/>
  <c r="A112" s="1"/>
  <c r="M113"/>
  <c r="M114"/>
  <c r="M115"/>
  <c r="A115" s="1"/>
  <c r="M116"/>
  <c r="A116" s="1"/>
  <c r="M117"/>
  <c r="M118"/>
  <c r="M119"/>
  <c r="A119" s="1"/>
  <c r="M120"/>
  <c r="M121"/>
  <c r="A121" s="1"/>
  <c r="M122"/>
  <c r="M92"/>
  <c r="A92" s="1"/>
  <c r="A93"/>
  <c r="A94"/>
  <c r="A97"/>
  <c r="A98"/>
  <c r="A101"/>
  <c r="A102"/>
  <c r="A103"/>
  <c r="A105"/>
  <c r="A106"/>
  <c r="A109"/>
  <c r="A110"/>
  <c r="A113"/>
  <c r="A114"/>
  <c r="A117"/>
  <c r="A118"/>
  <c r="A120"/>
  <c r="N107"/>
  <c r="B107" s="1"/>
  <c r="AL101"/>
  <c r="AL100"/>
  <c r="N93"/>
  <c r="B93" s="1"/>
  <c r="N94"/>
  <c r="N95"/>
  <c r="N96"/>
  <c r="B96" s="1"/>
  <c r="N97"/>
  <c r="N98"/>
  <c r="N100"/>
  <c r="N101"/>
  <c r="B101" s="1"/>
  <c r="N102"/>
  <c r="B102" s="1"/>
  <c r="N103"/>
  <c r="N104"/>
  <c r="N105"/>
  <c r="N106"/>
  <c r="B106" s="1"/>
  <c r="N108"/>
  <c r="N109"/>
  <c r="N110"/>
  <c r="B110" s="1"/>
  <c r="N112"/>
  <c r="B112" s="1"/>
  <c r="N113"/>
  <c r="B113" s="1"/>
  <c r="N114"/>
  <c r="B114" s="1"/>
  <c r="N115"/>
  <c r="B115" s="1"/>
  <c r="N116"/>
  <c r="B116" s="1"/>
  <c r="N117"/>
  <c r="N118"/>
  <c r="B118" s="1"/>
  <c r="N119"/>
  <c r="B119" s="1"/>
  <c r="N120"/>
  <c r="B120" s="1"/>
  <c r="N121"/>
  <c r="N122"/>
  <c r="N92"/>
  <c r="B92" s="1"/>
  <c r="B94"/>
  <c r="B95"/>
  <c r="B97"/>
  <c r="B98"/>
  <c r="B100"/>
  <c r="B103"/>
  <c r="B104"/>
  <c r="B105"/>
  <c r="B108"/>
  <c r="B109"/>
  <c r="B117"/>
  <c r="B121"/>
  <c r="M9" i="11"/>
  <c r="M10"/>
  <c r="M7"/>
  <c r="M6"/>
  <c r="M5"/>
  <c r="H115" i="7" l="1"/>
  <c r="J115" s="1"/>
  <c r="V115"/>
  <c r="AL78"/>
  <c r="AB77"/>
  <c r="AL75"/>
  <c r="AL67"/>
  <c r="N63"/>
  <c r="B63" s="1"/>
  <c r="N64"/>
  <c r="B64" s="1"/>
  <c r="N65"/>
  <c r="B65" s="1"/>
  <c r="N66"/>
  <c r="B66" s="1"/>
  <c r="N67"/>
  <c r="B67" s="1"/>
  <c r="N62"/>
  <c r="B62" s="1"/>
  <c r="AL68"/>
  <c r="AL63"/>
  <c r="AL50"/>
  <c r="AJ58"/>
  <c r="AL48"/>
  <c r="D58" l="1"/>
  <c r="P58"/>
  <c r="AM34"/>
  <c r="AM35"/>
  <c r="AM36"/>
  <c r="AM37"/>
  <c r="AM38"/>
  <c r="AM39"/>
  <c r="AM40"/>
  <c r="AM41"/>
  <c r="I20"/>
  <c r="I21"/>
  <c r="I22"/>
  <c r="I23"/>
  <c r="I25"/>
  <c r="I27"/>
  <c r="I28"/>
  <c r="I29"/>
  <c r="I30"/>
  <c r="I31"/>
  <c r="I32"/>
  <c r="I19"/>
  <c r="AK43"/>
  <c r="AL43"/>
  <c r="AK33"/>
  <c r="AK34"/>
  <c r="AK35"/>
  <c r="AK36"/>
  <c r="AK37"/>
  <c r="AK38"/>
  <c r="AK39"/>
  <c r="AK40"/>
  <c r="AK41"/>
  <c r="AM20"/>
  <c r="AM21"/>
  <c r="AM22"/>
  <c r="AM23"/>
  <c r="AM25"/>
  <c r="AM26"/>
  <c r="AM27"/>
  <c r="AM28"/>
  <c r="AM29"/>
  <c r="AM30"/>
  <c r="AM31"/>
  <c r="AM32"/>
  <c r="AM33"/>
  <c r="AM19"/>
  <c r="AJ33"/>
  <c r="AJ34"/>
  <c r="AJ35"/>
  <c r="AJ36"/>
  <c r="AJ37"/>
  <c r="AJ38"/>
  <c r="AJ39"/>
  <c r="AJ40"/>
  <c r="AJ41"/>
  <c r="C33"/>
  <c r="C34"/>
  <c r="C35"/>
  <c r="C37"/>
  <c r="C38"/>
  <c r="C39"/>
  <c r="C40"/>
  <c r="C41"/>
  <c r="C20"/>
  <c r="C21"/>
  <c r="C22"/>
  <c r="C23"/>
  <c r="C25"/>
  <c r="C27"/>
  <c r="C28"/>
  <c r="C29"/>
  <c r="C30"/>
  <c r="C31"/>
  <c r="C32"/>
  <c r="C19"/>
  <c r="B20"/>
  <c r="B21"/>
  <c r="B22"/>
  <c r="B23"/>
  <c r="B25"/>
  <c r="B27"/>
  <c r="B28"/>
  <c r="B29"/>
  <c r="B30"/>
  <c r="B31"/>
  <c r="B32"/>
  <c r="B33"/>
  <c r="B34"/>
  <c r="B35"/>
  <c r="B37"/>
  <c r="B38"/>
  <c r="B39"/>
  <c r="B40"/>
  <c r="B41"/>
  <c r="B19"/>
  <c r="AC8"/>
  <c r="AX7"/>
  <c r="AY9" s="1"/>
  <c r="AX5"/>
  <c r="U10"/>
  <c r="U11"/>
  <c r="I9" l="1"/>
  <c r="I10"/>
  <c r="I11"/>
  <c r="I12"/>
  <c r="I13"/>
  <c r="I8"/>
  <c r="AD8" l="1"/>
  <c r="AD29" s="1"/>
  <c r="AD30" s="1"/>
  <c r="AD31" s="1"/>
  <c r="AD32" s="1"/>
  <c r="AD33" s="1"/>
  <c r="AD34" s="1"/>
  <c r="AD35" s="1"/>
  <c r="AD36" s="1"/>
  <c r="AD37" s="1"/>
  <c r="AD38" s="1"/>
  <c r="R13"/>
  <c r="Q13" s="1"/>
  <c r="R12"/>
  <c r="Q12" s="1"/>
  <c r="S12" s="1"/>
  <c r="V12" s="1"/>
  <c r="R11"/>
  <c r="Q11" s="1"/>
  <c r="S11" s="1"/>
  <c r="V11" s="1"/>
  <c r="R10"/>
  <c r="Q10" s="1"/>
  <c r="R9"/>
  <c r="R8"/>
  <c r="Q8" s="1"/>
  <c r="F13"/>
  <c r="E13" s="1"/>
  <c r="F12"/>
  <c r="E12" s="1"/>
  <c r="F11"/>
  <c r="E11" s="1"/>
  <c r="G11" s="1"/>
  <c r="J11" s="1"/>
  <c r="F10"/>
  <c r="E10" s="1"/>
  <c r="F9"/>
  <c r="E9" s="1"/>
  <c r="F8"/>
  <c r="E8" s="1"/>
  <c r="AH142"/>
  <c r="AH143"/>
  <c r="AH144"/>
  <c r="AH145"/>
  <c r="AH146"/>
  <c r="AH147"/>
  <c r="AH148"/>
  <c r="AH149"/>
  <c r="AH150"/>
  <c r="AH151"/>
  <c r="AM82"/>
  <c r="AH152" l="1"/>
  <c r="AJ152" s="1"/>
  <c r="AG152"/>
  <c r="AM83"/>
  <c r="AL38"/>
  <c r="AD39"/>
  <c r="AF152"/>
  <c r="AL14"/>
  <c r="T77"/>
  <c r="T59"/>
  <c r="N59"/>
  <c r="B59" s="1"/>
  <c r="O59"/>
  <c r="C59" s="1"/>
  <c r="M59"/>
  <c r="A59" s="1"/>
  <c r="AL39" l="1"/>
  <c r="AD40"/>
  <c r="H59"/>
  <c r="AJ11"/>
  <c r="AL40" l="1"/>
  <c r="AD41"/>
  <c r="Q9"/>
  <c r="AJ8"/>
  <c r="AB80"/>
  <c r="AE8"/>
  <c r="AH8" s="1"/>
  <c r="AL8" s="1"/>
  <c r="AL89" s="1"/>
  <c r="AJ12" l="1"/>
  <c r="AJ9"/>
  <c r="AH14"/>
  <c r="AJ10"/>
  <c r="AJ13"/>
  <c r="T93" l="1"/>
  <c r="H93" s="1"/>
  <c r="T94"/>
  <c r="H94" s="1"/>
  <c r="T95"/>
  <c r="H95" s="1"/>
  <c r="T96"/>
  <c r="H96" s="1"/>
  <c r="T97"/>
  <c r="H97" s="1"/>
  <c r="T98"/>
  <c r="T99"/>
  <c r="T100"/>
  <c r="H100" s="1"/>
  <c r="T101"/>
  <c r="H101" s="1"/>
  <c r="T102"/>
  <c r="H102" s="1"/>
  <c r="T103"/>
  <c r="H103" s="1"/>
  <c r="T104"/>
  <c r="T105"/>
  <c r="H105" s="1"/>
  <c r="T106"/>
  <c r="T108"/>
  <c r="T109"/>
  <c r="H109" s="1"/>
  <c r="T110"/>
  <c r="T111"/>
  <c r="T112"/>
  <c r="T113"/>
  <c r="T114"/>
  <c r="T92"/>
  <c r="H92" s="1"/>
  <c r="T85"/>
  <c r="H85" s="1"/>
  <c r="T84"/>
  <c r="H84" s="1"/>
  <c r="T83"/>
  <c r="H83" s="1"/>
  <c r="T73"/>
  <c r="H73" s="1"/>
  <c r="T74"/>
  <c r="H74" s="1"/>
  <c r="T72"/>
  <c r="H72" s="1"/>
  <c r="T63"/>
  <c r="H63" s="1"/>
  <c r="T64"/>
  <c r="H64" s="1"/>
  <c r="T65"/>
  <c r="H65" s="1"/>
  <c r="T66"/>
  <c r="H66" s="1"/>
  <c r="T67"/>
  <c r="H67" s="1"/>
  <c r="T62"/>
  <c r="H62" s="1"/>
  <c r="I48"/>
  <c r="I49"/>
  <c r="I47"/>
  <c r="H114" l="1"/>
  <c r="V114"/>
  <c r="H113"/>
  <c r="V113"/>
  <c r="H112"/>
  <c r="V112"/>
  <c r="H111"/>
  <c r="V111"/>
  <c r="H110"/>
  <c r="V110"/>
  <c r="H108"/>
  <c r="V108"/>
  <c r="H106"/>
  <c r="V106"/>
  <c r="H104"/>
  <c r="V104"/>
  <c r="H99"/>
  <c r="V99"/>
  <c r="H98"/>
  <c r="V98"/>
  <c r="T80"/>
  <c r="H80" s="1"/>
  <c r="T81"/>
  <c r="H81" s="1"/>
  <c r="T82"/>
  <c r="H82" s="1"/>
  <c r="T56"/>
  <c r="H56" s="1"/>
  <c r="T57"/>
  <c r="H57" s="1"/>
  <c r="T58"/>
  <c r="H58" s="1"/>
  <c r="T55"/>
  <c r="H55" s="1"/>
  <c r="AD28" l="1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D23"/>
  <c r="AE23" s="1"/>
  <c r="AH23" s="1"/>
  <c r="AL23" s="1"/>
  <c r="AD22"/>
  <c r="AE22" s="1"/>
  <c r="AH22" s="1"/>
  <c r="AL22" s="1"/>
  <c r="AD21"/>
  <c r="AE21" s="1"/>
  <c r="AH21" s="1"/>
  <c r="AL21" s="1"/>
  <c r="AD20"/>
  <c r="AE20" s="1"/>
  <c r="AH20" s="1"/>
  <c r="AL20" s="1"/>
  <c r="AD19"/>
  <c r="AE19" s="1"/>
  <c r="AH19" s="1"/>
  <c r="AL19" s="1"/>
  <c r="S8"/>
  <c r="G8"/>
  <c r="J8" s="1"/>
  <c r="AK11"/>
  <c r="F47"/>
  <c r="F30"/>
  <c r="F29"/>
  <c r="F28"/>
  <c r="F27"/>
  <c r="F26"/>
  <c r="F25"/>
  <c r="F24"/>
  <c r="F23"/>
  <c r="F22"/>
  <c r="F21"/>
  <c r="F20"/>
  <c r="F19"/>
  <c r="F31"/>
  <c r="F48"/>
  <c r="AB84"/>
  <c r="AB81"/>
  <c r="AB74"/>
  <c r="AB72"/>
  <c r="AB67"/>
  <c r="AB66"/>
  <c r="AB65"/>
  <c r="AB64"/>
  <c r="AB63"/>
  <c r="AB62"/>
  <c r="AH41"/>
  <c r="AL41" s="1"/>
  <c r="AH50"/>
  <c r="AW6"/>
  <c r="AX6" s="1"/>
  <c r="R25"/>
  <c r="R29"/>
  <c r="S29" s="1"/>
  <c r="R19"/>
  <c r="R47"/>
  <c r="R24"/>
  <c r="R28"/>
  <c r="S9"/>
  <c r="S13"/>
  <c r="V13" s="1"/>
  <c r="R26"/>
  <c r="R27"/>
  <c r="S27" s="1"/>
  <c r="R23"/>
  <c r="R21"/>
  <c r="R22"/>
  <c r="R30"/>
  <c r="R48"/>
  <c r="R20"/>
  <c r="AJ25" l="1"/>
  <c r="AJ29"/>
  <c r="AJ26"/>
  <c r="AJ20"/>
  <c r="AJ21"/>
  <c r="AJ19"/>
  <c r="AJ27"/>
  <c r="AJ22"/>
  <c r="S30"/>
  <c r="V30" s="1"/>
  <c r="AJ30"/>
  <c r="AJ28"/>
  <c r="AJ23"/>
  <c r="AJ48"/>
  <c r="AJ47"/>
  <c r="G19"/>
  <c r="J19" s="1"/>
  <c r="G31"/>
  <c r="J31" s="1"/>
  <c r="G30"/>
  <c r="J30" s="1"/>
  <c r="S25"/>
  <c r="G21"/>
  <c r="J21" s="1"/>
  <c r="S21"/>
  <c r="F32"/>
  <c r="D7" i="11"/>
  <c r="AE29" i="7"/>
  <c r="AH29" s="1"/>
  <c r="AL29" s="1"/>
  <c r="R49"/>
  <c r="V29"/>
  <c r="G9"/>
  <c r="J9" s="1"/>
  <c r="AE30"/>
  <c r="AH30" s="1"/>
  <c r="AL30" s="1"/>
  <c r="V9"/>
  <c r="V27"/>
  <c r="V8"/>
  <c r="E55"/>
  <c r="G6" i="11"/>
  <c r="R31" i="7"/>
  <c r="Q55"/>
  <c r="S47"/>
  <c r="S20"/>
  <c r="R32"/>
  <c r="G48"/>
  <c r="J48" s="1"/>
  <c r="F49"/>
  <c r="S48"/>
  <c r="G20"/>
  <c r="J20" s="1"/>
  <c r="S31" l="1"/>
  <c r="S23"/>
  <c r="V23" s="1"/>
  <c r="G32"/>
  <c r="J32" s="1"/>
  <c r="AJ32"/>
  <c r="AK30"/>
  <c r="S28"/>
  <c r="S22"/>
  <c r="G47"/>
  <c r="J47" s="1"/>
  <c r="G29"/>
  <c r="J29" s="1"/>
  <c r="AK29" s="1"/>
  <c r="E56"/>
  <c r="G55"/>
  <c r="J55" s="1"/>
  <c r="S55"/>
  <c r="AJ49"/>
  <c r="G28"/>
  <c r="J28" s="1"/>
  <c r="G22"/>
  <c r="J22" s="1"/>
  <c r="V21"/>
  <c r="V25"/>
  <c r="S32"/>
  <c r="G7" i="11"/>
  <c r="S19" i="7"/>
  <c r="G25"/>
  <c r="J25" s="1"/>
  <c r="G27"/>
  <c r="J27" s="1"/>
  <c r="AK27" s="1"/>
  <c r="G5" i="11"/>
  <c r="G23" i="7"/>
  <c r="J23" s="1"/>
  <c r="AK8"/>
  <c r="S49"/>
  <c r="S10"/>
  <c r="G49"/>
  <c r="J49" s="1"/>
  <c r="AK9"/>
  <c r="G13"/>
  <c r="J13" s="1"/>
  <c r="G10"/>
  <c r="J10" s="1"/>
  <c r="G12"/>
  <c r="J12" s="1"/>
  <c r="AE31"/>
  <c r="AH31" s="1"/>
  <c r="AL31" s="1"/>
  <c r="V20"/>
  <c r="V47"/>
  <c r="V48"/>
  <c r="Q56"/>
  <c r="J42" l="1"/>
  <c r="AJ31"/>
  <c r="J50"/>
  <c r="AK23"/>
  <c r="AK26"/>
  <c r="AK20"/>
  <c r="AK21"/>
  <c r="E57"/>
  <c r="AK25"/>
  <c r="V22"/>
  <c r="V28"/>
  <c r="V31"/>
  <c r="V32"/>
  <c r="AK47"/>
  <c r="AK48"/>
  <c r="V10"/>
  <c r="V14" s="1"/>
  <c r="B6" i="11" s="1"/>
  <c r="V19" i="7"/>
  <c r="G56"/>
  <c r="J56" s="1"/>
  <c r="AK13"/>
  <c r="J14"/>
  <c r="B5" i="11" s="1"/>
  <c r="AK12" i="7"/>
  <c r="V49"/>
  <c r="B7" i="11"/>
  <c r="AE32" i="7"/>
  <c r="AH32" s="1"/>
  <c r="AL32" s="1"/>
  <c r="Q57"/>
  <c r="E58"/>
  <c r="V55"/>
  <c r="AK19" l="1"/>
  <c r="AK31"/>
  <c r="AK32"/>
  <c r="AK22"/>
  <c r="AK28"/>
  <c r="E59"/>
  <c r="V42"/>
  <c r="C6" i="11" s="1"/>
  <c r="AK10" i="7"/>
  <c r="AK14" s="1"/>
  <c r="AM14" s="1"/>
  <c r="C5" i="11"/>
  <c r="AK49" i="7"/>
  <c r="S56"/>
  <c r="V56" s="1"/>
  <c r="V50"/>
  <c r="AJ50" s="1"/>
  <c r="G57"/>
  <c r="J57" s="1"/>
  <c r="AJ14"/>
  <c r="D5" i="11"/>
  <c r="J51" i="7"/>
  <c r="AE33"/>
  <c r="AH33" s="1"/>
  <c r="AL33" s="1"/>
  <c r="S57"/>
  <c r="Q58"/>
  <c r="E62"/>
  <c r="AK15" l="1"/>
  <c r="AJ15" s="1"/>
  <c r="W4"/>
  <c r="G59"/>
  <c r="J59" s="1"/>
  <c r="AK50"/>
  <c r="AK51" s="1"/>
  <c r="V51"/>
  <c r="Q59"/>
  <c r="D6" i="11"/>
  <c r="G58" i="7"/>
  <c r="J58" s="1"/>
  <c r="AH34"/>
  <c r="AL34" s="1"/>
  <c r="Q62"/>
  <c r="S58"/>
  <c r="G62"/>
  <c r="J62" s="1"/>
  <c r="E63"/>
  <c r="V57"/>
  <c r="J60" l="1"/>
  <c r="E5" i="11" s="1"/>
  <c r="S59" i="7"/>
  <c r="V59" s="1"/>
  <c r="AJ51"/>
  <c r="S62"/>
  <c r="AE34"/>
  <c r="AH35" s="1"/>
  <c r="AL35" s="1"/>
  <c r="E64"/>
  <c r="G63"/>
  <c r="J63" s="1"/>
  <c r="Q67"/>
  <c r="Q63"/>
  <c r="V58"/>
  <c r="V60" l="1"/>
  <c r="E6" i="11" s="1"/>
  <c r="AJ62" i="7"/>
  <c r="S63"/>
  <c r="AE35"/>
  <c r="AH36" s="1"/>
  <c r="AL36" s="1"/>
  <c r="Q64"/>
  <c r="E65"/>
  <c r="G64"/>
  <c r="J64" s="1"/>
  <c r="V62"/>
  <c r="S67"/>
  <c r="Q72"/>
  <c r="G65" l="1"/>
  <c r="J65" s="1"/>
  <c r="E66"/>
  <c r="AJ63"/>
  <c r="AJ64"/>
  <c r="S72"/>
  <c r="AE36"/>
  <c r="AH37" s="1"/>
  <c r="V63"/>
  <c r="Q74"/>
  <c r="Q73"/>
  <c r="V67"/>
  <c r="Q65"/>
  <c r="Q66" s="1"/>
  <c r="S64"/>
  <c r="AL37" l="1"/>
  <c r="AL42" s="1"/>
  <c r="AL44" s="1"/>
  <c r="AK42"/>
  <c r="AK44" s="1"/>
  <c r="W15" s="1"/>
  <c r="AJ65"/>
  <c r="AH42"/>
  <c r="S73"/>
  <c r="S65"/>
  <c r="V72"/>
  <c r="S74"/>
  <c r="Q77"/>
  <c r="V64"/>
  <c r="V73" l="1"/>
  <c r="AH51"/>
  <c r="C7" i="11"/>
  <c r="E67" i="7"/>
  <c r="G66"/>
  <c r="J66" s="1"/>
  <c r="V74"/>
  <c r="V65"/>
  <c r="S77"/>
  <c r="Q80"/>
  <c r="AJ42" l="1"/>
  <c r="AJ43" s="1"/>
  <c r="AC55"/>
  <c r="AB55" s="1"/>
  <c r="AJ67"/>
  <c r="AJ66"/>
  <c r="V75"/>
  <c r="H6" i="11" s="1"/>
  <c r="Q85" i="7"/>
  <c r="Q81"/>
  <c r="Q82"/>
  <c r="Q83"/>
  <c r="Q84"/>
  <c r="S80"/>
  <c r="E72"/>
  <c r="G67" l="1"/>
  <c r="J67" s="1"/>
  <c r="S66"/>
  <c r="V66" s="1"/>
  <c r="AC56"/>
  <c r="AB56" s="1"/>
  <c r="AJ72"/>
  <c r="S81"/>
  <c r="S83"/>
  <c r="S84"/>
  <c r="S82"/>
  <c r="Q92"/>
  <c r="S85"/>
  <c r="E74"/>
  <c r="E73"/>
  <c r="J68"/>
  <c r="F5" i="11" s="1"/>
  <c r="V80" i="7"/>
  <c r="G72" l="1"/>
  <c r="J72" s="1"/>
  <c r="AE55"/>
  <c r="AH55" s="1"/>
  <c r="AK55" s="1"/>
  <c r="AC57"/>
  <c r="AB57" s="1"/>
  <c r="AJ74"/>
  <c r="V68"/>
  <c r="AJ73"/>
  <c r="V85"/>
  <c r="V82"/>
  <c r="V81"/>
  <c r="V84"/>
  <c r="V83"/>
  <c r="Q93"/>
  <c r="S93" s="1"/>
  <c r="S92"/>
  <c r="V92" s="1"/>
  <c r="E77"/>
  <c r="AJ77" s="1"/>
  <c r="AM55" l="1"/>
  <c r="AE56"/>
  <c r="AH56" s="1"/>
  <c r="AK56" s="1"/>
  <c r="AM56" s="1"/>
  <c r="AC58"/>
  <c r="AB58" s="1"/>
  <c r="G74"/>
  <c r="J74" s="1"/>
  <c r="G73"/>
  <c r="J73" s="1"/>
  <c r="F6" i="11"/>
  <c r="V90" i="7"/>
  <c r="Q94"/>
  <c r="S94" s="1"/>
  <c r="E80"/>
  <c r="AE57" l="1"/>
  <c r="AH57" s="1"/>
  <c r="AK57" s="1"/>
  <c r="AC62"/>
  <c r="AC59"/>
  <c r="AB59" s="1"/>
  <c r="G77"/>
  <c r="AJ80"/>
  <c r="J75"/>
  <c r="H5" i="11" s="1"/>
  <c r="J6"/>
  <c r="Q95" i="7"/>
  <c r="S95" s="1"/>
  <c r="E83"/>
  <c r="E84"/>
  <c r="E85"/>
  <c r="E81"/>
  <c r="E82"/>
  <c r="AE59" l="1"/>
  <c r="AH59" s="1"/>
  <c r="AK59" s="1"/>
  <c r="AM59" s="1"/>
  <c r="AC63"/>
  <c r="AE63" s="1"/>
  <c r="AH63" s="1"/>
  <c r="AK63" s="1"/>
  <c r="AM63" s="1"/>
  <c r="AC67"/>
  <c r="AC65"/>
  <c r="AE65" s="1"/>
  <c r="AH65" s="1"/>
  <c r="AK65" s="1"/>
  <c r="AM65" s="1"/>
  <c r="AC64"/>
  <c r="AE64" s="1"/>
  <c r="AH64" s="1"/>
  <c r="AK64" s="1"/>
  <c r="AM64" s="1"/>
  <c r="AC66"/>
  <c r="AE66" s="1"/>
  <c r="AH66" s="1"/>
  <c r="AK66" s="1"/>
  <c r="AM66" s="1"/>
  <c r="AE62"/>
  <c r="AH62" s="1"/>
  <c r="AK62" s="1"/>
  <c r="AM62" s="1"/>
  <c r="AE58"/>
  <c r="AH58" s="1"/>
  <c r="AJ82"/>
  <c r="G84"/>
  <c r="J84" s="1"/>
  <c r="AJ81"/>
  <c r="G80"/>
  <c r="J80" s="1"/>
  <c r="E92"/>
  <c r="Q96"/>
  <c r="S96" s="1"/>
  <c r="G82" l="1"/>
  <c r="J82" s="1"/>
  <c r="G85"/>
  <c r="J85" s="1"/>
  <c r="G81"/>
  <c r="AH60"/>
  <c r="AJ60" s="1"/>
  <c r="AK58"/>
  <c r="G83"/>
  <c r="J83" s="1"/>
  <c r="AE67"/>
  <c r="AH67" s="1"/>
  <c r="AC72"/>
  <c r="AJ92"/>
  <c r="E110"/>
  <c r="G110" s="1"/>
  <c r="J110" s="1"/>
  <c r="E108"/>
  <c r="E105"/>
  <c r="G105" s="1"/>
  <c r="J105" s="1"/>
  <c r="E103"/>
  <c r="G103" s="1"/>
  <c r="J103" s="1"/>
  <c r="E101"/>
  <c r="G101" s="1"/>
  <c r="J101" s="1"/>
  <c r="E99"/>
  <c r="G99" s="1"/>
  <c r="J99" s="1"/>
  <c r="E97"/>
  <c r="G97" s="1"/>
  <c r="J97" s="1"/>
  <c r="E95"/>
  <c r="E93"/>
  <c r="E107" s="1"/>
  <c r="G107" s="1"/>
  <c r="J107" s="1"/>
  <c r="E109"/>
  <c r="G109" s="1"/>
  <c r="J109" s="1"/>
  <c r="E106"/>
  <c r="G106" s="1"/>
  <c r="J106" s="1"/>
  <c r="E104"/>
  <c r="G104" s="1"/>
  <c r="J104" s="1"/>
  <c r="E102"/>
  <c r="G102" s="1"/>
  <c r="J102" s="1"/>
  <c r="E100"/>
  <c r="G100" s="1"/>
  <c r="J100" s="1"/>
  <c r="E98"/>
  <c r="G98" s="1"/>
  <c r="J98" s="1"/>
  <c r="E96"/>
  <c r="E94"/>
  <c r="Q97"/>
  <c r="J81" l="1"/>
  <c r="J90" s="1"/>
  <c r="J5" i="11" s="1"/>
  <c r="G108" i="7"/>
  <c r="J108" s="1"/>
  <c r="G92"/>
  <c r="AK60"/>
  <c r="AM57"/>
  <c r="AC74"/>
  <c r="AE72"/>
  <c r="AH72" s="1"/>
  <c r="AK72" s="1"/>
  <c r="AM72" s="1"/>
  <c r="AC73"/>
  <c r="AE73" s="1"/>
  <c r="AH73" s="1"/>
  <c r="AK73" s="1"/>
  <c r="AM73" s="1"/>
  <c r="E7" i="11"/>
  <c r="AH68" i="7"/>
  <c r="AK67"/>
  <c r="G96"/>
  <c r="J96" s="1"/>
  <c r="Q98"/>
  <c r="E111"/>
  <c r="G111" s="1"/>
  <c r="J111" s="1"/>
  <c r="AJ93" l="1"/>
  <c r="G93"/>
  <c r="J93" s="1"/>
  <c r="AJ94"/>
  <c r="G94"/>
  <c r="J94" s="1"/>
  <c r="AJ97"/>
  <c r="S97"/>
  <c r="AJ95"/>
  <c r="G95"/>
  <c r="J95" s="1"/>
  <c r="AJ96"/>
  <c r="AK68"/>
  <c r="AK69" s="1"/>
  <c r="AM67"/>
  <c r="AJ61"/>
  <c r="AK61"/>
  <c r="F7" i="11"/>
  <c r="AJ68" i="7"/>
  <c r="W55"/>
  <c r="AC77"/>
  <c r="AE74"/>
  <c r="AH74" s="1"/>
  <c r="E112"/>
  <c r="G112" s="1"/>
  <c r="J112" s="1"/>
  <c r="Q99"/>
  <c r="AJ98" l="1"/>
  <c r="S98"/>
  <c r="AJ69"/>
  <c r="AC80"/>
  <c r="AE77"/>
  <c r="AH77" s="1"/>
  <c r="AH78" s="1"/>
  <c r="I7" i="11" s="1"/>
  <c r="AH75" i="7"/>
  <c r="AK74"/>
  <c r="Q100"/>
  <c r="E113"/>
  <c r="AJ99" l="1"/>
  <c r="S99"/>
  <c r="G113"/>
  <c r="J113" s="1"/>
  <c r="E114"/>
  <c r="AK75"/>
  <c r="AK76" s="1"/>
  <c r="AM74"/>
  <c r="AC85"/>
  <c r="AE85" s="1"/>
  <c r="AH85" s="1"/>
  <c r="AC89"/>
  <c r="AC86"/>
  <c r="AE86" s="1"/>
  <c r="AH86" s="1"/>
  <c r="AC84"/>
  <c r="AE84" s="1"/>
  <c r="AH84" s="1"/>
  <c r="AC82"/>
  <c r="AE82" s="1"/>
  <c r="AH82" s="1"/>
  <c r="AE80"/>
  <c r="AH80" s="1"/>
  <c r="AC81"/>
  <c r="AC87"/>
  <c r="AE87" s="1"/>
  <c r="AH87" s="1"/>
  <c r="AC83"/>
  <c r="AE83" s="1"/>
  <c r="AH83" s="1"/>
  <c r="H7" i="11"/>
  <c r="AJ75" i="7"/>
  <c r="S100"/>
  <c r="Q101"/>
  <c r="G114" l="1"/>
  <c r="J114" s="1"/>
  <c r="E115"/>
  <c r="AJ100"/>
  <c r="AK83"/>
  <c r="AK82"/>
  <c r="AK85"/>
  <c r="AK80"/>
  <c r="AC88"/>
  <c r="AE88" s="1"/>
  <c r="AH88" s="1"/>
  <c r="AE81"/>
  <c r="AH81" s="1"/>
  <c r="AK86"/>
  <c r="AE89"/>
  <c r="AH89" s="1"/>
  <c r="AC92"/>
  <c r="AK87"/>
  <c r="AK84"/>
  <c r="Q102"/>
  <c r="S102" s="1"/>
  <c r="V102" s="1"/>
  <c r="G115" l="1"/>
  <c r="E116"/>
  <c r="AJ101"/>
  <c r="S101"/>
  <c r="AH90"/>
  <c r="J7" i="11" s="1"/>
  <c r="AC104" i="7"/>
  <c r="AE104" s="1"/>
  <c r="AH104" s="1"/>
  <c r="AC93"/>
  <c r="AC102"/>
  <c r="AE102" s="1"/>
  <c r="AH102" s="1"/>
  <c r="AC109"/>
  <c r="AE109" s="1"/>
  <c r="AH109" s="1"/>
  <c r="AC111"/>
  <c r="AE111" s="1"/>
  <c r="AH111" s="1"/>
  <c r="AC101"/>
  <c r="AE101" s="1"/>
  <c r="AH101" s="1"/>
  <c r="AC97"/>
  <c r="AE97" s="1"/>
  <c r="AH97" s="1"/>
  <c r="AC95"/>
  <c r="AE95" s="1"/>
  <c r="AH95" s="1"/>
  <c r="AC105"/>
  <c r="AE105" s="1"/>
  <c r="AH105" s="1"/>
  <c r="AC99"/>
  <c r="AE99" s="1"/>
  <c r="AH99" s="1"/>
  <c r="AC110"/>
  <c r="AE110" s="1"/>
  <c r="AH110" s="1"/>
  <c r="AC98"/>
  <c r="AE98" s="1"/>
  <c r="AH98" s="1"/>
  <c r="AC103"/>
  <c r="AE103" s="1"/>
  <c r="AH103" s="1"/>
  <c r="AE92"/>
  <c r="AH92" s="1"/>
  <c r="AC108"/>
  <c r="AE108" s="1"/>
  <c r="AH108" s="1"/>
  <c r="AC96"/>
  <c r="AE96" s="1"/>
  <c r="AH96" s="1"/>
  <c r="AC106"/>
  <c r="AE106" s="1"/>
  <c r="AH106" s="1"/>
  <c r="AC112"/>
  <c r="AE112" s="1"/>
  <c r="AH112" s="1"/>
  <c r="AC100"/>
  <c r="AE100" s="1"/>
  <c r="AH100" s="1"/>
  <c r="AC94"/>
  <c r="AK88"/>
  <c r="AK89"/>
  <c r="AK81"/>
  <c r="Q103"/>
  <c r="AL82" l="1"/>
  <c r="AM81" s="1"/>
  <c r="AL11" s="1"/>
  <c r="E117"/>
  <c r="AC113"/>
  <c r="AE113" s="1"/>
  <c r="AH113" s="1"/>
  <c r="AE93"/>
  <c r="AH93" s="1"/>
  <c r="AC114"/>
  <c r="AE114" s="1"/>
  <c r="AH114" s="1"/>
  <c r="AE94"/>
  <c r="AH94" s="1"/>
  <c r="AC107"/>
  <c r="AE107" s="1"/>
  <c r="AH107" s="1"/>
  <c r="AK102"/>
  <c r="AM102" s="1"/>
  <c r="AJ102"/>
  <c r="AK100"/>
  <c r="AM100" s="1"/>
  <c r="AJ90"/>
  <c r="AL90" s="1"/>
  <c r="AK101"/>
  <c r="AM101" s="1"/>
  <c r="AL83"/>
  <c r="AM84" s="1"/>
  <c r="AK90"/>
  <c r="AK93"/>
  <c r="AM93" s="1"/>
  <c r="AK96"/>
  <c r="AM96" s="1"/>
  <c r="AK98"/>
  <c r="AM98" s="1"/>
  <c r="AK95"/>
  <c r="AM95" s="1"/>
  <c r="AK99"/>
  <c r="AM99" s="1"/>
  <c r="AK97"/>
  <c r="AM97" s="1"/>
  <c r="S103"/>
  <c r="Q104"/>
  <c r="E118" l="1"/>
  <c r="AJ91"/>
  <c r="AK103"/>
  <c r="AM103" s="1"/>
  <c r="AJ103"/>
  <c r="AC115"/>
  <c r="AE115" s="1"/>
  <c r="AH115" s="1"/>
  <c r="AK94"/>
  <c r="Q105"/>
  <c r="E119" l="1"/>
  <c r="AJ104"/>
  <c r="S104"/>
  <c r="AM94"/>
  <c r="AC116"/>
  <c r="AE116" s="1"/>
  <c r="AH116" s="1"/>
  <c r="AK116" s="1"/>
  <c r="AM116" s="1"/>
  <c r="Q106"/>
  <c r="Q107" s="1"/>
  <c r="AK104"/>
  <c r="AM104" s="1"/>
  <c r="E120" l="1"/>
  <c r="AJ105"/>
  <c r="S105"/>
  <c r="Q108"/>
  <c r="S107"/>
  <c r="AK105"/>
  <c r="AM105" s="1"/>
  <c r="AC127"/>
  <c r="AE127" s="1"/>
  <c r="AH127" s="1"/>
  <c r="AC117"/>
  <c r="AE117" s="1"/>
  <c r="AH117" s="1"/>
  <c r="AK117" s="1"/>
  <c r="AM117" s="1"/>
  <c r="S106"/>
  <c r="E121" l="1"/>
  <c r="AK107"/>
  <c r="AM107" s="1"/>
  <c r="AJ107"/>
  <c r="AK106"/>
  <c r="AM106" s="1"/>
  <c r="AJ106"/>
  <c r="AG131"/>
  <c r="AC118"/>
  <c r="AE118" s="1"/>
  <c r="AH118" s="1"/>
  <c r="AK118" s="1"/>
  <c r="AM118" s="1"/>
  <c r="S108"/>
  <c r="Q109"/>
  <c r="E122" l="1"/>
  <c r="AO94"/>
  <c r="AO95" s="1"/>
  <c r="AC119"/>
  <c r="AE119" s="1"/>
  <c r="AH119" s="1"/>
  <c r="AK119" s="1"/>
  <c r="AM119" s="1"/>
  <c r="AJ108"/>
  <c r="S109"/>
  <c r="V109" s="1"/>
  <c r="Q110"/>
  <c r="AK108"/>
  <c r="AM108" s="1"/>
  <c r="I131" l="1"/>
  <c r="AC120"/>
  <c r="AE120" s="1"/>
  <c r="AH120" s="1"/>
  <c r="AK120" s="1"/>
  <c r="AM120" s="1"/>
  <c r="AJ109"/>
  <c r="S110"/>
  <c r="Q111"/>
  <c r="AK109"/>
  <c r="AM109" s="1"/>
  <c r="AC121" l="1"/>
  <c r="AE121" s="1"/>
  <c r="AH121" s="1"/>
  <c r="AK121" s="1"/>
  <c r="AM121" s="1"/>
  <c r="AJ110"/>
  <c r="S111"/>
  <c r="Q112"/>
  <c r="S112" s="1"/>
  <c r="AK110"/>
  <c r="AM110" s="1"/>
  <c r="AC122" l="1"/>
  <c r="AE122" s="1"/>
  <c r="AH122" s="1"/>
  <c r="AK122" s="1"/>
  <c r="AM122" s="1"/>
  <c r="AJ111"/>
  <c r="Q113"/>
  <c r="AK111"/>
  <c r="AM111" s="1"/>
  <c r="S113" l="1"/>
  <c r="Q114"/>
  <c r="AC123"/>
  <c r="AJ112"/>
  <c r="AK112"/>
  <c r="AM112" s="1"/>
  <c r="AC124" l="1"/>
  <c r="AE123"/>
  <c r="AH123" s="1"/>
  <c r="AK123" s="1"/>
  <c r="AM123" s="1"/>
  <c r="Q115"/>
  <c r="AJ113"/>
  <c r="AC125" l="1"/>
  <c r="AE124"/>
  <c r="AH124" s="1"/>
  <c r="AK124" s="1"/>
  <c r="AM124" s="1"/>
  <c r="S114"/>
  <c r="AK114" s="1"/>
  <c r="AM114" s="1"/>
  <c r="AJ114"/>
  <c r="Q116"/>
  <c r="AK113"/>
  <c r="AM113" s="1"/>
  <c r="J92"/>
  <c r="J128" s="1"/>
  <c r="K5" i="11" s="1"/>
  <c r="AC126" i="7" l="1"/>
  <c r="AE126" s="1"/>
  <c r="AH126" s="1"/>
  <c r="AK126" s="1"/>
  <c r="AM126" s="1"/>
  <c r="AE125"/>
  <c r="AH125" s="1"/>
  <c r="AK125" s="1"/>
  <c r="AM125" s="1"/>
  <c r="AH128"/>
  <c r="S115"/>
  <c r="AK115" s="1"/>
  <c r="AM115" s="1"/>
  <c r="AJ115"/>
  <c r="Q117"/>
  <c r="AK92"/>
  <c r="Q118" l="1"/>
  <c r="AJ116"/>
  <c r="AM92"/>
  <c r="K7" i="11"/>
  <c r="AO115" i="7" l="1"/>
  <c r="AO114" s="1"/>
  <c r="Q119"/>
  <c r="L7" i="11"/>
  <c r="N7" s="1"/>
  <c r="AH129" i="7"/>
  <c r="AH130" s="1"/>
  <c r="AH131" s="1"/>
  <c r="H77"/>
  <c r="J77" s="1"/>
  <c r="J78" s="1"/>
  <c r="V77"/>
  <c r="V78" s="1"/>
  <c r="Q120" l="1"/>
  <c r="AK77"/>
  <c r="AM77" s="1"/>
  <c r="J129"/>
  <c r="J130" s="1"/>
  <c r="J131" s="1"/>
  <c r="I5" i="11"/>
  <c r="I6"/>
  <c r="AJ78" i="7"/>
  <c r="Q121" l="1"/>
  <c r="AK78"/>
  <c r="AK79" s="1"/>
  <c r="L5" i="11"/>
  <c r="N5" s="1"/>
  <c r="Q122" i="7" l="1"/>
  <c r="N99"/>
  <c r="B99" s="1"/>
  <c r="N111"/>
  <c r="B111" s="1"/>
  <c r="U131" l="1"/>
  <c r="Q127" l="1"/>
  <c r="S127" s="1"/>
  <c r="V127" s="1"/>
  <c r="AK127" s="1"/>
  <c r="AM127" s="1"/>
  <c r="V128" l="1"/>
  <c r="K6" i="11" l="1"/>
  <c r="L6" s="1"/>
  <c r="N6" s="1"/>
  <c r="AJ128" i="7"/>
  <c r="V129"/>
  <c r="V130" s="1"/>
  <c r="V131" s="1"/>
  <c r="AH133" s="1"/>
  <c r="AH136" s="1"/>
  <c r="AK128"/>
  <c r="AJ129" l="1"/>
  <c r="N8" i="11"/>
  <c r="N15" s="1"/>
</calcChain>
</file>

<file path=xl/sharedStrings.xml><?xml version="1.0" encoding="utf-8"?>
<sst xmlns="http://schemas.openxmlformats.org/spreadsheetml/2006/main" count="563" uniqueCount="229">
  <si>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</si>
  <si>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</si>
  <si>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</si>
  <si>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</si>
  <si>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</si>
  <si>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</si>
  <si>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</si>
  <si>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</si>
  <si>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</si>
  <si>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</si>
  <si>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</si>
  <si>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</si>
  <si>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</si>
  <si>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</si>
  <si>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</si>
  <si>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</si>
  <si>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</si>
  <si>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</si>
  <si>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</si>
  <si>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</si>
  <si>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</si>
  <si>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</si>
  <si>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</si>
  <si>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</si>
  <si>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</si>
  <si>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</si>
  <si>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</si>
  <si>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</si>
  <si>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</si>
  <si>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</si>
  <si>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</si>
  <si>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</si>
  <si>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</si>
  <si>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</si>
  <si>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</si>
  <si>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</si>
  <si>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</si>
  <si>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</si>
  <si>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</si>
  <si>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</si>
  <si>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</si>
  <si>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</si>
  <si>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</si>
  <si>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</si>
  <si>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</si>
  <si>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</si>
  <si>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</si>
  <si>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</si>
  <si>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</si>
  <si>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</si>
  <si>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</si>
  <si>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</si>
  <si>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</si>
  <si>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</si>
  <si>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</si>
  <si>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</si>
  <si>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</si>
  <si>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</si>
  <si>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</si>
  <si>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</si>
  <si>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</si>
  <si>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</si>
  <si>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</si>
  <si>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</si>
  <si>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</si>
  <si>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</si>
  <si>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</si>
  <si>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</si>
  <si>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</si>
  <si>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</si>
  <si>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</si>
  <si>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</si>
  <si>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</si>
  <si>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</si>
  <si>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</si>
  <si>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</si>
  <si>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</si>
  <si>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</si>
  <si>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</si>
  <si>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</si>
  <si>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</si>
  <si>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</si>
  <si>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</si>
  <si>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</si>
  <si>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</si>
  <si>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</si>
  <si>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</si>
  <si>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</si>
  <si>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</si>
  <si>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</si>
  <si>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</si>
  <si>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</si>
  <si>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</si>
  <si>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</si>
  <si>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</si>
  <si>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</si>
  <si>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</si>
  <si>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</si>
  <si>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</si>
  <si>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</si>
  <si>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</si>
  <si>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</si>
  <si>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</si>
  <si>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</si>
  <si>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</si>
  <si>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</si>
  <si>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</si>
  <si>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</si>
  <si>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</si>
  <si>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</si>
  <si>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</si>
  <si>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</si>
  <si>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</si>
  <si>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</si>
  <si>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</si>
  <si>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</si>
  <si>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</si>
  <si>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</si>
  <si>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</si>
  <si>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</si>
  <si>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</si>
  <si>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</si>
  <si>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</si>
  <si>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</si>
  <si>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</si>
  <si>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</si>
  <si>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</si>
  <si>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</si>
  <si>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</si>
  <si>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</si>
  <si>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</si>
  <si>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</si>
  <si>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</si>
  <si>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</si>
  <si>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</si>
  <si>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</si>
  <si>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</si>
  <si>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</si>
  <si>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</si>
  <si>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</si>
  <si>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</si>
  <si>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</si>
  <si>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</si>
  <si>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</si>
  <si>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</si>
  <si>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</si>
  <si>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</si>
  <si>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</si>
  <si>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</si>
  <si>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</si>
  <si>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</si>
  <si>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</si>
  <si>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</si>
  <si>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</si>
  <si>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</si>
  <si>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</si>
  <si>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</si>
  <si>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</si>
  <si>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</si>
  <si>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</si>
  <si>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</si>
  <si>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</si>
  <si>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</si>
  <si>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</si>
  <si>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</si>
  <si>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</si>
  <si>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</si>
  <si>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</si>
  <si>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</si>
  <si>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</si>
  <si>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</si>
  <si>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</si>
  <si>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</si>
  <si>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</si>
  <si>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</si>
  <si>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</si>
  <si>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</si>
  <si>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</si>
  <si>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</si>
  <si>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</si>
  <si>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</si>
  <si>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</si>
  <si>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</si>
  <si>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</si>
  <si>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</si>
  <si>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</si>
  <si>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</si>
  <si>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</si>
  <si>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</si>
  <si>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</si>
  <si>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</si>
  <si>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</si>
  <si>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</si>
  <si>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</si>
  <si>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</si>
  <si>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</si>
  <si>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</si>
  <si>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</si>
  <si>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</si>
  <si>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</si>
  <si>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</si>
  <si>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</si>
  <si>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</si>
  <si>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</si>
  <si>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</si>
  <si>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</si>
  <si>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</si>
  <si>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</si>
  <si>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</si>
  <si>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</si>
  <si>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</si>
  <si>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</si>
  <si>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</si>
  <si>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</si>
  <si>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</si>
  <si>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</si>
  <si>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</si>
  <si>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</si>
  <si>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</si>
  <si>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</si>
  <si>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</si>
  <si>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t>Муниципальное бюджетное дошкольное образовательное учреждение "Северо-Енисейский детский сад № 3"</t>
  </si>
  <si>
    <r>
      <t xml:space="preserve">Свод нормативов затрат на выполнение  муниципального задания МБДОУ № 3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</si>
  <si>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Уборщик служебных помещений</t>
  </si>
  <si>
    <t>Бумага цветная</t>
  </si>
  <si>
    <t>упак</t>
  </si>
  <si>
    <t>Набор ручек (3 цвета)</t>
  </si>
  <si>
    <t>Проверка</t>
  </si>
  <si>
    <t>Реализация основных общеобразовательных программ дошкольного образования (3-8 лет)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</si>
</sst>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438">
    <xf numFmtId="0" fontId="0" fillId="0" borderId="0" xfId="0"/>
    <xf numFmtId="0" fontId="1" fillId="0" borderId="0" xfId="0" applyFont="1"/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25" fillId="7" borderId="10" xfId="2" applyFont="1" applyFill="1" applyBorder="1" applyAlignment="1" applyProtection="1">
      <alignment horizontal="left" vertical="center" wrapText="1"/>
      <protection locked="0"/>
    </xf>
    <xf numFmtId="0" fontId="12" fillId="7" borderId="10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5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4" fontId="14" fillId="0" borderId="17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4" fontId="7" fillId="0" borderId="1" xfId="0" applyNumberFormat="1" applyFont="1" applyFill="1" applyBorder="1" applyAlignment="1"/>
    <xf numFmtId="4" fontId="5" fillId="0" borderId="0" xfId="0" applyNumberFormat="1" applyFont="1" applyAlignment="1">
      <alignment horizontal="right"/>
    </xf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2" fillId="7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vertical="top" wrapText="1"/>
    </xf>
    <xf numFmtId="4" fontId="33" fillId="0" borderId="0" xfId="0" applyNumberFormat="1" applyFont="1" applyFill="1" applyBorder="1"/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0" fontId="24" fillId="9" borderId="0" xfId="0" applyFont="1" applyFill="1" applyBorder="1" applyAlignment="1"/>
    <xf numFmtId="4" fontId="7" fillId="0" borderId="1" xfId="0" applyNumberFormat="1" applyFont="1" applyFill="1" applyBorder="1"/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7" fillId="6" borderId="0" xfId="0" applyFont="1" applyFill="1" applyBorder="1"/>
    <xf numFmtId="0" fontId="7" fillId="0" borderId="6" xfId="0" applyFont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/>
    </xf>
    <xf numFmtId="165" fontId="7" fillId="0" borderId="1" xfId="0" applyNumberFormat="1" applyFont="1" applyFill="1" applyBorder="1" applyAlignment="1">
      <alignment vertical="top"/>
    </xf>
    <xf numFmtId="166" fontId="7" fillId="0" borderId="1" xfId="0" applyNumberFormat="1" applyFont="1" applyFill="1" applyBorder="1" applyAlignment="1">
      <alignment vertical="top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74" fontId="7" fillId="7" borderId="1" xfId="0" applyNumberFormat="1" applyFont="1" applyFill="1" applyBorder="1" applyAlignment="1">
      <alignment vertical="top"/>
    </xf>
    <xf numFmtId="0" fontId="32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 vertical="top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4" fontId="33" fillId="0" borderId="0" xfId="4" applyNumberFormat="1" applyFont="1" applyBorder="1" applyAlignment="1">
      <alignment horizontal="center" vertical="top" wrapText="1"/>
    </xf>
    <xf numFmtId="4" fontId="33" fillId="0" borderId="0" xfId="0" applyNumberFormat="1" applyFont="1" applyBorder="1" applyAlignment="1">
      <alignment vertical="top"/>
    </xf>
    <xf numFmtId="4" fontId="8" fillId="0" borderId="0" xfId="0" applyNumberFormat="1" applyFont="1" applyAlignment="1">
      <alignment vertical="top"/>
    </xf>
    <xf numFmtId="164" fontId="8" fillId="0" borderId="0" xfId="4" applyFont="1" applyFill="1" applyBorder="1" applyAlignment="1">
      <alignment vertical="top"/>
    </xf>
    <xf numFmtId="4" fontId="33" fillId="0" borderId="0" xfId="0" applyNumberFormat="1" applyFont="1" applyFill="1" applyBorder="1" applyAlignment="1">
      <alignment vertical="top"/>
    </xf>
    <xf numFmtId="0" fontId="21" fillId="0" borderId="0" xfId="0" applyFont="1" applyAlignment="1">
      <alignment vertical="top"/>
    </xf>
    <xf numFmtId="0" fontId="7" fillId="0" borderId="24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horizontal="left" wrapText="1"/>
    </xf>
    <xf numFmtId="0" fontId="7" fillId="0" borderId="6" xfId="0" applyFont="1" applyBorder="1" applyAlignment="1">
      <alignment horizontal="center" vertical="center"/>
    </xf>
    <xf numFmtId="0" fontId="5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165" fontId="7" fillId="0" borderId="1" xfId="0" applyNumberFormat="1" applyFont="1" applyFill="1" applyBorder="1" applyAlignment="1">
      <alignment vertical="center"/>
    </xf>
    <xf numFmtId="166" fontId="7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174" fontId="7" fillId="7" borderId="1" xfId="0" applyNumberFormat="1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4" fontId="33" fillId="13" borderId="0" xfId="0" applyNumberFormat="1" applyFont="1" applyFill="1" applyBorder="1" applyAlignment="1">
      <alignment vertical="center"/>
    </xf>
    <xf numFmtId="178" fontId="33" fillId="0" borderId="0" xfId="0" applyNumberFormat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164" fontId="8" fillId="9" borderId="0" xfId="4" applyFont="1" applyFill="1" applyBorder="1" applyAlignment="1">
      <alignment vertical="center"/>
    </xf>
    <xf numFmtId="0" fontId="8" fillId="9" borderId="0" xfId="0" applyFont="1" applyFill="1" applyBorder="1" applyAlignment="1">
      <alignment vertical="center"/>
    </xf>
    <xf numFmtId="164" fontId="8" fillId="9" borderId="0" xfId="0" applyNumberFormat="1" applyFont="1" applyFill="1" applyBorder="1" applyAlignment="1">
      <alignment vertical="center"/>
    </xf>
    <xf numFmtId="4" fontId="33" fillId="12" borderId="0" xfId="0" applyNumberFormat="1" applyFont="1" applyFill="1" applyBorder="1" applyAlignment="1">
      <alignment vertical="center"/>
    </xf>
    <xf numFmtId="0" fontId="21" fillId="0" borderId="0" xfId="0" applyFont="1" applyAlignment="1">
      <alignment vertical="center"/>
    </xf>
    <xf numFmtId="4" fontId="21" fillId="15" borderId="0" xfId="0" applyNumberFormat="1" applyFont="1" applyFill="1" applyAlignment="1">
      <alignment vertical="center"/>
    </xf>
    <xf numFmtId="164" fontId="21" fillId="14" borderId="0" xfId="4" applyFont="1" applyFill="1" applyBorder="1" applyAlignment="1">
      <alignment vertical="center"/>
    </xf>
    <xf numFmtId="43" fontId="8" fillId="0" borderId="0" xfId="0" applyNumberFormat="1" applyFont="1" applyAlignment="1">
      <alignment vertical="center"/>
    </xf>
    <xf numFmtId="0" fontId="41" fillId="7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9" fillId="14" borderId="0" xfId="0" applyNumberFormat="1" applyFont="1" applyFill="1" applyBorder="1" applyAlignment="1">
      <alignment vertical="center"/>
    </xf>
    <xf numFmtId="4" fontId="33" fillId="14" borderId="0" xfId="0" applyNumberFormat="1" applyFont="1" applyFill="1" applyBorder="1" applyAlignment="1">
      <alignment vertical="center"/>
    </xf>
    <xf numFmtId="0" fontId="34" fillId="1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4" fontId="8" fillId="0" borderId="1" xfId="0" applyNumberFormat="1" applyFont="1" applyFill="1" applyBorder="1" applyAlignment="1">
      <alignment vertical="center" wrapText="1"/>
    </xf>
    <xf numFmtId="0" fontId="8" fillId="7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4" fontId="33" fillId="7" borderId="0" xfId="0" applyNumberFormat="1" applyFont="1" applyFill="1" applyBorder="1" applyAlignment="1">
      <alignment vertical="center"/>
    </xf>
    <xf numFmtId="164" fontId="24" fillId="9" borderId="0" xfId="0" applyNumberFormat="1" applyFont="1" applyFill="1" applyBorder="1" applyAlignment="1">
      <alignment vertical="center"/>
    </xf>
    <xf numFmtId="0" fontId="24" fillId="9" borderId="0" xfId="0" applyFont="1" applyFill="1" applyBorder="1" applyAlignment="1">
      <alignment vertical="center"/>
    </xf>
    <xf numFmtId="0" fontId="1" fillId="0" borderId="1" xfId="0" applyFont="1" applyBorder="1"/>
    <xf numFmtId="4" fontId="1" fillId="0" borderId="1" xfId="0" applyNumberFormat="1" applyFont="1" applyBorder="1"/>
    <xf numFmtId="4" fontId="1" fillId="0" borderId="0" xfId="0" applyNumberFormat="1" applyFont="1"/>
    <xf numFmtId="4" fontId="1" fillId="0" borderId="1" xfId="4" applyNumberFormat="1" applyFont="1" applyBorder="1"/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7" fillId="0" borderId="28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right" vertical="center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6" xfId="0" applyFont="1" applyBorder="1" applyAlignment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view="pageBreakPreview" zoomScaleSheetLayoutView="100" workbookViewId="0">
      <selection activeCell="G22" sqref="G22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17" style="1" customWidth="1"/>
    <col min="16" max="16" width="10.140625" style="1" bestFit="1" customWidth="1"/>
    <col min="17" max="17" width="9.140625" style="1" bestFit="1" customWidth="1"/>
    <col min="18" max="18" width="12.140625" style="1" bestFit="1" customWidth="1"/>
    <col min="19" max="19" width="18.42578125" style="1" bestFit="1" customWidth="1"/>
    <col min="20" max="20" width="9" style="1" bestFit="1" customWidth="1"/>
    <col min="21" max="21" width="10.140625" style="1" bestFit="1" customWidth="1"/>
    <col min="22" max="22" width="9.140625" style="1" bestFit="1" customWidth="1"/>
    <col min="23" max="24" width="11.7109375" style="1" bestFit="1" customWidth="1"/>
    <col min="25" max="25" width="12.7109375" style="1" bestFit="1" customWidth="1"/>
    <col min="26" max="16384" width="8.85546875" style="1"/>
  </cols>
  <sheetData>
    <row r="1" spans="1:25" ht="42" customHeight="1">
      <c r="A1" s="359" t="s">
        <v>222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1"/>
    </row>
    <row r="2" spans="1:25" ht="70.5" customHeight="1">
      <c r="A2" s="365" t="s">
        <v>158</v>
      </c>
      <c r="B2" s="365" t="s">
        <v>65</v>
      </c>
      <c r="C2" s="365"/>
      <c r="D2" s="365"/>
      <c r="E2" s="365" t="s">
        <v>66</v>
      </c>
      <c r="F2" s="365"/>
      <c r="G2" s="365"/>
      <c r="H2" s="365"/>
      <c r="I2" s="365"/>
      <c r="J2" s="365"/>
      <c r="K2" s="365"/>
      <c r="L2" s="365" t="s">
        <v>67</v>
      </c>
      <c r="M2" s="366" t="s">
        <v>177</v>
      </c>
      <c r="N2" s="367" t="s">
        <v>178</v>
      </c>
    </row>
    <row r="3" spans="1:25" ht="16.5" customHeight="1">
      <c r="A3" s="365"/>
      <c r="B3" s="123" t="s">
        <v>30</v>
      </c>
      <c r="C3" s="123" t="s">
        <v>64</v>
      </c>
      <c r="D3" s="123" t="s">
        <v>31</v>
      </c>
      <c r="E3" s="123" t="s">
        <v>32</v>
      </c>
      <c r="F3" s="123" t="s">
        <v>33</v>
      </c>
      <c r="G3" s="123" t="s">
        <v>34</v>
      </c>
      <c r="H3" s="123" t="s">
        <v>35</v>
      </c>
      <c r="I3" s="123" t="s">
        <v>36</v>
      </c>
      <c r="J3" s="123" t="s">
        <v>37</v>
      </c>
      <c r="K3" s="123" t="s">
        <v>38</v>
      </c>
      <c r="L3" s="365"/>
      <c r="M3" s="366"/>
      <c r="N3" s="367"/>
      <c r="O3" s="355" t="s">
        <v>30</v>
      </c>
      <c r="P3" s="355" t="s">
        <v>64</v>
      </c>
      <c r="Q3" s="355" t="s">
        <v>31</v>
      </c>
      <c r="R3" s="355" t="s">
        <v>32</v>
      </c>
      <c r="S3" s="355" t="s">
        <v>33</v>
      </c>
      <c r="T3" s="355" t="s">
        <v>34</v>
      </c>
      <c r="U3" s="355" t="s">
        <v>35</v>
      </c>
      <c r="V3" s="355" t="s">
        <v>36</v>
      </c>
      <c r="W3" s="355" t="s">
        <v>37</v>
      </c>
      <c r="X3" s="355" t="s">
        <v>38</v>
      </c>
      <c r="Y3" s="355" t="s">
        <v>227</v>
      </c>
    </row>
    <row r="4" spans="1:25">
      <c r="A4" s="124">
        <v>1</v>
      </c>
      <c r="B4" s="124">
        <v>2</v>
      </c>
      <c r="C4" s="124">
        <v>3</v>
      </c>
      <c r="D4" s="124">
        <v>4</v>
      </c>
      <c r="E4" s="124">
        <v>5</v>
      </c>
      <c r="F4" s="124">
        <v>6</v>
      </c>
      <c r="G4" s="124">
        <v>7</v>
      </c>
      <c r="H4" s="124">
        <v>8</v>
      </c>
      <c r="I4" s="124">
        <v>9</v>
      </c>
      <c r="J4" s="124">
        <v>10</v>
      </c>
      <c r="K4" s="124">
        <v>11</v>
      </c>
      <c r="L4" s="124" t="s">
        <v>39</v>
      </c>
      <c r="M4" s="125">
        <v>13</v>
      </c>
      <c r="N4" s="125" t="s">
        <v>179</v>
      </c>
      <c r="O4" s="356">
        <f>'расчет свод'!AJ14</f>
        <v>9781077.0000000037</v>
      </c>
      <c r="P4" s="356">
        <f>'расчет свод'!AJ42</f>
        <v>145000.00000000003</v>
      </c>
      <c r="Q4" s="356">
        <f>'расчет свод'!AJ50</f>
        <v>56249.999999999993</v>
      </c>
      <c r="R4" s="356">
        <f>'расчет свод'!AJ60</f>
        <v>2134482.3900000011</v>
      </c>
      <c r="S4" s="356">
        <f>'расчет свод'!AJ68</f>
        <v>488899.50999999995</v>
      </c>
      <c r="T4" s="356">
        <f>'расчет свод'!AJ70</f>
        <v>0</v>
      </c>
      <c r="U4" s="356">
        <f>'расчет свод'!AJ75</f>
        <v>141925.44</v>
      </c>
      <c r="V4" s="356">
        <f>'расчет свод'!AJ78</f>
        <v>15000</v>
      </c>
      <c r="W4" s="356">
        <f>'расчет свод'!AJ90</f>
        <v>6924913.6100000106</v>
      </c>
      <c r="X4" s="356">
        <f>'расчет свод'!AJ128</f>
        <v>4343062.55</v>
      </c>
      <c r="Y4" s="356">
        <f>SUM(O4:X4)</f>
        <v>24030610.500000015</v>
      </c>
    </row>
    <row r="5" spans="1:25" ht="51.75">
      <c r="A5" s="169" t="s">
        <v>190</v>
      </c>
      <c r="B5" s="287">
        <f>'расчет свод'!J14</f>
        <v>122179.0270000001</v>
      </c>
      <c r="C5" s="288">
        <f>'расчет свод'!J42</f>
        <v>837.76543209876547</v>
      </c>
      <c r="D5" s="288">
        <f>'расчет свод'!J50</f>
        <v>694.44444444444446</v>
      </c>
      <c r="E5" s="287">
        <f>'расчет свод'!J60</f>
        <v>13175.817222222227</v>
      </c>
      <c r="F5" s="287">
        <f>'расчет свод'!J68</f>
        <v>3017.8982098765428</v>
      </c>
      <c r="G5" s="288">
        <f>'расчет свод'!J70</f>
        <v>0</v>
      </c>
      <c r="H5" s="288">
        <f>'расчет свод'!J75</f>
        <v>1555.0953086419752</v>
      </c>
      <c r="I5" s="288">
        <f>'расчет свод'!J78</f>
        <v>123.45679012345678</v>
      </c>
      <c r="J5" s="288">
        <f>'расчет свод'!J90</f>
        <v>26400.357645432119</v>
      </c>
      <c r="K5" s="288">
        <f>'расчет свод'!J128</f>
        <v>26801.528086419752</v>
      </c>
      <c r="L5" s="289">
        <f>SUM(B5:K5)</f>
        <v>194785.39013925937</v>
      </c>
      <c r="M5" s="290">
        <f>'расчет свод'!C4</f>
        <v>12</v>
      </c>
      <c r="N5" s="291">
        <f>M5*L5</f>
        <v>2337424.6816711123</v>
      </c>
      <c r="O5" s="356">
        <f>(B5*M5)/O4*100</f>
        <v>14.989640956716736</v>
      </c>
      <c r="P5" s="356">
        <f>(C5*M5)/P4*100</f>
        <v>6.9332311621966793</v>
      </c>
      <c r="Q5" s="356">
        <f>(D5*M5)/Q4*100</f>
        <v>14.814814814814817</v>
      </c>
      <c r="R5" s="356">
        <f>(E5*M5)/R4*100</f>
        <v>7.4074074074074066</v>
      </c>
      <c r="S5" s="356">
        <f>(F5*M5)/S4*100</f>
        <v>7.4074074074074066</v>
      </c>
      <c r="T5" s="356" t="e">
        <f>(G5*M5)/T4*100</f>
        <v>#DIV/0!</v>
      </c>
      <c r="U5" s="356">
        <f>(H5*M5)/U4*100</f>
        <v>13.148554412587131</v>
      </c>
      <c r="V5" s="356">
        <f>(I5*M5)/V4*100</f>
        <v>9.8765432098765427</v>
      </c>
      <c r="W5" s="356">
        <f>(J5*M5)/W4*100</f>
        <v>4.5748482881822543</v>
      </c>
      <c r="X5" s="356">
        <f>(K5*M5)/X4*100</f>
        <v>7.4053351369999731</v>
      </c>
      <c r="Y5" s="357"/>
    </row>
    <row r="6" spans="1:25" ht="51.75">
      <c r="A6" s="169" t="s">
        <v>228</v>
      </c>
      <c r="B6" s="287">
        <f>'расчет свод'!V14</f>
        <v>76351.430086956563</v>
      </c>
      <c r="C6" s="288">
        <f>'расчет свод'!V42</f>
        <v>868.79441760601196</v>
      </c>
      <c r="D6" s="288">
        <f>'расчет свод'!V50</f>
        <v>694.44444444444434</v>
      </c>
      <c r="E6" s="287">
        <f>'расчет свод'!V60</f>
        <v>13175.817222222227</v>
      </c>
      <c r="F6" s="287">
        <f>'расчет свод'!V68</f>
        <v>3017.8982098765428</v>
      </c>
      <c r="G6" s="288">
        <f>'расчет свод'!V70</f>
        <v>0</v>
      </c>
      <c r="H6" s="288">
        <f>'расчет свод'!V75</f>
        <v>1555.0953086419752</v>
      </c>
      <c r="I6" s="288">
        <f>'расчет свод'!V78</f>
        <v>123.45679012345678</v>
      </c>
      <c r="J6" s="288">
        <f>'расчет свод'!V90</f>
        <v>26400.357645432119</v>
      </c>
      <c r="K6" s="288">
        <f>'расчет свод'!V128</f>
        <v>26801.528086419752</v>
      </c>
      <c r="L6" s="289">
        <f>SUM(B6:K6)</f>
        <v>148988.82221172308</v>
      </c>
      <c r="M6" s="290">
        <f>'расчет свод'!O4</f>
        <v>69</v>
      </c>
      <c r="N6" s="291">
        <f>M6*L6</f>
        <v>10280228.732608892</v>
      </c>
      <c r="O6" s="356">
        <f>B6*M6/O4*100</f>
        <v>53.861641984824381</v>
      </c>
      <c r="P6" s="356">
        <f>(C6*M6)/P4*100</f>
        <v>41.342630906768832</v>
      </c>
      <c r="Q6" s="356">
        <f>(D6*M6)/Q4*100</f>
        <v>85.185185185185176</v>
      </c>
      <c r="R6" s="356">
        <f>(E6*M6)/R4*100</f>
        <v>42.592592592592588</v>
      </c>
      <c r="S6" s="356">
        <f>(F6*M6)/S4*100</f>
        <v>42.592592592592595</v>
      </c>
      <c r="T6" s="356" t="e">
        <f>(G6*M6)/T4*100</f>
        <v>#DIV/0!</v>
      </c>
      <c r="U6" s="356">
        <f>(H6*M6)/U4*100</f>
        <v>75.604187872376002</v>
      </c>
      <c r="V6" s="356">
        <f>(I6*M6)/V4*100</f>
        <v>56.79012345679012</v>
      </c>
      <c r="W6" s="356">
        <f>(J6*M6)/W4*100</f>
        <v>26.305377657047963</v>
      </c>
      <c r="X6" s="356">
        <f>(K6*M6)/X4*100</f>
        <v>42.580677037749844</v>
      </c>
      <c r="Y6" s="357"/>
    </row>
    <row r="7" spans="1:25" ht="15">
      <c r="A7" s="170" t="s">
        <v>145</v>
      </c>
      <c r="B7" s="287">
        <f>'расчет свод'!AH14</f>
        <v>37613.333333333336</v>
      </c>
      <c r="C7" s="288">
        <f>'расчет свод'!AH42</f>
        <v>925.92592592592587</v>
      </c>
      <c r="D7" s="288">
        <f>'расчет свод'!AH50</f>
        <v>0</v>
      </c>
      <c r="E7" s="287">
        <f>'расчет свод'!AH60</f>
        <v>13175.817222222227</v>
      </c>
      <c r="F7" s="287">
        <f>'расчет свод'!AH68</f>
        <v>3017.8982098765428</v>
      </c>
      <c r="G7" s="288">
        <f>'расчет свод'!AH70</f>
        <v>0</v>
      </c>
      <c r="H7" s="288">
        <f>'расчет свод'!AH75</f>
        <v>197.07061728395058</v>
      </c>
      <c r="I7" s="288">
        <f>'расчет свод'!AH78</f>
        <v>61.728395061728392</v>
      </c>
      <c r="J7" s="288">
        <f>'расчет свод'!AH90</f>
        <v>59092.40297185196</v>
      </c>
      <c r="K7" s="288">
        <f>'расчет свод'!AH128</f>
        <v>26816.528086419752</v>
      </c>
      <c r="L7" s="289">
        <f t="shared" ref="L7" si="0">SUM(B7:K7)</f>
        <v>140900.70476197542</v>
      </c>
      <c r="M7" s="290">
        <f>'расчет свод'!AA4</f>
        <v>81</v>
      </c>
      <c r="N7" s="291">
        <f t="shared" ref="N7" si="1">M7*L7</f>
        <v>11412957.085720008</v>
      </c>
      <c r="O7" s="356">
        <f>B7*M7/O4*100</f>
        <v>31.148717058458885</v>
      </c>
      <c r="P7" s="356">
        <f>(C7*M7)/P4*100</f>
        <v>51.724137931034477</v>
      </c>
      <c r="Q7" s="356">
        <f>(D7*M7)/Q4*100</f>
        <v>0</v>
      </c>
      <c r="R7" s="356">
        <f>(E7*M7)/R4*100</f>
        <v>50</v>
      </c>
      <c r="S7" s="356">
        <f>(F7*M7)/S4*100</f>
        <v>50</v>
      </c>
      <c r="T7" s="356" t="e">
        <f>(G7*M7)/T4*100</f>
        <v>#DIV/0!</v>
      </c>
      <c r="U7" s="356">
        <f>(H7*M7)/U4*100</f>
        <v>11.247257715036852</v>
      </c>
      <c r="V7" s="356">
        <f>(I7*M7)/V4*100</f>
        <v>33.333333333333329</v>
      </c>
      <c r="W7" s="356">
        <f>(J7*M7)/W4*100</f>
        <v>69.119774054769778</v>
      </c>
      <c r="X7" s="356">
        <f>(K7*M7)/X4*100</f>
        <v>50.013987825250183</v>
      </c>
      <c r="Y7" s="357"/>
    </row>
    <row r="8" spans="1:25" ht="21.75" customHeight="1">
      <c r="A8" s="362" t="s">
        <v>180</v>
      </c>
      <c r="B8" s="363"/>
      <c r="C8" s="363"/>
      <c r="D8" s="363"/>
      <c r="E8" s="363"/>
      <c r="F8" s="363"/>
      <c r="G8" s="363"/>
      <c r="H8" s="363"/>
      <c r="I8" s="363"/>
      <c r="J8" s="363"/>
      <c r="K8" s="363"/>
      <c r="L8" s="363"/>
      <c r="M8" s="364"/>
      <c r="N8" s="44">
        <f>SUM(N5:N7)</f>
        <v>24030610.500000015</v>
      </c>
      <c r="O8" s="356">
        <f>SUM(O5:O7)</f>
        <v>100</v>
      </c>
      <c r="P8" s="356">
        <f t="shared" ref="P8:X8" si="2">SUM(P5:P7)</f>
        <v>99.999999999999986</v>
      </c>
      <c r="Q8" s="356">
        <f t="shared" si="2"/>
        <v>100</v>
      </c>
      <c r="R8" s="356">
        <f t="shared" si="2"/>
        <v>100</v>
      </c>
      <c r="S8" s="358">
        <f t="shared" si="2"/>
        <v>100</v>
      </c>
      <c r="T8" s="356" t="e">
        <f t="shared" si="2"/>
        <v>#DIV/0!</v>
      </c>
      <c r="U8" s="356">
        <f t="shared" si="2"/>
        <v>99.999999999999986</v>
      </c>
      <c r="V8" s="356">
        <f t="shared" si="2"/>
        <v>99.999999999999986</v>
      </c>
      <c r="W8" s="356">
        <f t="shared" si="2"/>
        <v>100</v>
      </c>
      <c r="X8" s="356">
        <f t="shared" si="2"/>
        <v>100</v>
      </c>
      <c r="Y8" s="357"/>
    </row>
    <row r="9" spans="1:25" ht="15">
      <c r="L9" s="127" t="s">
        <v>181</v>
      </c>
      <c r="M9" s="126">
        <f>'расчет свод'!AH135</f>
        <v>908557.82</v>
      </c>
      <c r="S9" s="8"/>
    </row>
    <row r="10" spans="1:25" ht="28.5">
      <c r="L10" s="128" t="s">
        <v>182</v>
      </c>
      <c r="M10" s="126">
        <f>'расчет свод'!AH134</f>
        <v>23122052.68</v>
      </c>
    </row>
    <row r="11" spans="1:25">
      <c r="N11" s="18"/>
    </row>
    <row r="12" spans="1:25">
      <c r="J12" s="18"/>
      <c r="L12" s="9"/>
    </row>
    <row r="13" spans="1:25" ht="15">
      <c r="K13" s="16"/>
      <c r="L13" s="9"/>
      <c r="N13" s="18"/>
    </row>
    <row r="14" spans="1:25" ht="15">
      <c r="K14" s="16"/>
      <c r="L14" s="9"/>
      <c r="M14" s="18"/>
      <c r="N14" s="130"/>
    </row>
    <row r="15" spans="1:25" ht="15">
      <c r="K15" s="2"/>
      <c r="L15" s="9"/>
      <c r="N15" s="130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4"/>
  <sheetViews>
    <sheetView tabSelected="1" view="pageBreakPreview" topLeftCell="J1" zoomScale="76" zoomScaleNormal="70" zoomScaleSheetLayoutView="76" zoomScalePageLayoutView="85" workbookViewId="0">
      <selection activeCell="AL116" sqref="AL116"/>
    </sheetView>
  </sheetViews>
  <sheetFormatPr defaultColWidth="8.85546875" defaultRowHeight="18.75" outlineLevelRow="2"/>
  <cols>
    <col min="1" max="1" width="5.42578125" style="2" customWidth="1"/>
    <col min="2" max="2" width="32.140625" style="2" customWidth="1"/>
    <col min="3" max="3" width="11.5703125" style="2" customWidth="1"/>
    <col min="4" max="4" width="13.85546875" style="2" bestFit="1" customWidth="1"/>
    <col min="5" max="5" width="20.7109375" style="2" bestFit="1" customWidth="1"/>
    <col min="6" max="6" width="16.42578125" style="7" customWidth="1"/>
    <col min="7" max="7" width="20.28515625" style="2" customWidth="1"/>
    <col min="8" max="8" width="12.7109375" style="2" customWidth="1"/>
    <col min="9" max="9" width="11.140625" style="2" customWidth="1"/>
    <col min="10" max="10" width="19.7109375" style="244" bestFit="1" customWidth="1"/>
    <col min="11" max="11" width="27" style="2" customWidth="1"/>
    <col min="12" max="12" width="5.85546875" style="56" customWidth="1"/>
    <col min="13" max="13" width="5.85546875" style="2" bestFit="1" customWidth="1"/>
    <col min="14" max="14" width="32.140625" style="2" customWidth="1"/>
    <col min="15" max="15" width="11.5703125" style="2" customWidth="1"/>
    <col min="16" max="16" width="15.85546875" style="2" customWidth="1"/>
    <col min="17" max="17" width="22.42578125" style="2" customWidth="1"/>
    <col min="18" max="18" width="18.5703125" style="7" customWidth="1"/>
    <col min="19" max="19" width="17" style="2" customWidth="1"/>
    <col min="20" max="20" width="17.42578125" style="2" customWidth="1"/>
    <col min="21" max="21" width="12.140625" style="2" customWidth="1"/>
    <col min="22" max="22" width="19.7109375" style="244" bestFit="1" customWidth="1"/>
    <col min="23" max="23" width="27.5703125" style="2" customWidth="1"/>
    <col min="24" max="24" width="5.28515625" style="26" customWidth="1"/>
    <col min="25" max="25" width="5.85546875" style="2" bestFit="1" customWidth="1"/>
    <col min="26" max="26" width="34.7109375" style="2" customWidth="1"/>
    <col min="27" max="27" width="17.42578125" style="2" customWidth="1"/>
    <col min="28" max="28" width="10.85546875" style="2" customWidth="1"/>
    <col min="29" max="29" width="14" style="2" customWidth="1"/>
    <col min="30" max="30" width="14.85546875" style="7" customWidth="1"/>
    <col min="31" max="31" width="20.28515625" style="2" customWidth="1"/>
    <col min="32" max="32" width="12.7109375" style="2" customWidth="1"/>
    <col min="33" max="33" width="15.5703125" style="2" customWidth="1"/>
    <col min="34" max="34" width="19.7109375" style="244" customWidth="1"/>
    <col min="35" max="35" width="24.28515625" style="2" customWidth="1"/>
    <col min="36" max="36" width="15.140625" style="2" customWidth="1"/>
    <col min="37" max="37" width="25" style="133" customWidth="1"/>
    <col min="38" max="38" width="23.5703125" style="277" customWidth="1"/>
    <col min="39" max="39" width="21.85546875" style="2" customWidth="1"/>
    <col min="40" max="40" width="17.5703125" style="2" customWidth="1"/>
    <col min="41" max="41" width="20.7109375" style="2" customWidth="1"/>
    <col min="42" max="42" width="21.7109375" style="2" customWidth="1"/>
    <col min="43" max="44" width="18.7109375" style="2" customWidth="1"/>
    <col min="45" max="45" width="20.85546875" style="2" customWidth="1"/>
    <col min="46" max="46" width="16.7109375" style="2" customWidth="1"/>
    <col min="47" max="47" width="13.85546875" style="2" customWidth="1"/>
    <col min="48" max="48" width="13" style="2" customWidth="1"/>
    <col min="49" max="49" width="12.7109375" style="2" customWidth="1"/>
    <col min="50" max="50" width="19.7109375" style="2" customWidth="1"/>
    <col min="51" max="51" width="13.5703125" style="2" customWidth="1"/>
    <col min="52" max="16384" width="8.85546875" style="2"/>
  </cols>
  <sheetData>
    <row r="1" spans="1:51">
      <c r="B1" s="428" t="s">
        <v>221</v>
      </c>
      <c r="C1" s="428"/>
      <c r="D1" s="428"/>
      <c r="E1" s="428"/>
      <c r="F1" s="428"/>
      <c r="G1" s="428"/>
      <c r="H1" s="428"/>
      <c r="I1" s="428"/>
      <c r="J1" s="428"/>
    </row>
    <row r="2" spans="1:51" ht="19.5" customHeight="1">
      <c r="A2" s="19"/>
      <c r="B2" s="47" t="s">
        <v>175</v>
      </c>
      <c r="C2" s="19"/>
      <c r="D2" s="19"/>
      <c r="E2" s="19"/>
      <c r="F2" s="43"/>
      <c r="G2" s="19"/>
      <c r="H2" s="19"/>
      <c r="M2" s="19"/>
      <c r="N2" s="47" t="s">
        <v>175</v>
      </c>
      <c r="O2" s="19"/>
      <c r="P2" s="19"/>
      <c r="Q2" s="19"/>
      <c r="R2" s="43"/>
      <c r="S2" s="19"/>
      <c r="T2" s="19"/>
      <c r="Y2" s="19"/>
      <c r="Z2" s="47" t="s">
        <v>176</v>
      </c>
      <c r="AA2" s="19"/>
      <c r="AB2" s="19"/>
      <c r="AC2" s="19"/>
      <c r="AD2" s="20"/>
      <c r="AE2" s="19"/>
      <c r="AF2" s="19"/>
    </row>
    <row r="3" spans="1:51" s="117" customFormat="1" ht="19.5" customHeight="1">
      <c r="B3" s="117" t="s">
        <v>153</v>
      </c>
      <c r="E3" s="118"/>
      <c r="F3" s="119"/>
      <c r="J3" s="255"/>
      <c r="L3" s="120"/>
      <c r="N3" s="117" t="s">
        <v>154</v>
      </c>
      <c r="Q3" s="118"/>
      <c r="R3" s="119"/>
      <c r="V3" s="255"/>
      <c r="X3" s="120"/>
      <c r="AC3" s="118"/>
      <c r="AD3" s="121"/>
      <c r="AH3" s="255"/>
      <c r="AK3" s="134"/>
      <c r="AL3" s="278"/>
    </row>
    <row r="4" spans="1:51" ht="19.5" thickBot="1">
      <c r="B4" s="131" t="s">
        <v>204</v>
      </c>
      <c r="C4" s="2">
        <v>12</v>
      </c>
      <c r="F4" s="34"/>
      <c r="N4" s="122" t="s">
        <v>204</v>
      </c>
      <c r="O4" s="2">
        <v>69</v>
      </c>
      <c r="R4" s="34"/>
      <c r="W4" s="156">
        <f>AM14</f>
        <v>0</v>
      </c>
      <c r="Y4" s="34"/>
      <c r="Z4" s="122" t="s">
        <v>204</v>
      </c>
      <c r="AA4" s="34">
        <v>81</v>
      </c>
      <c r="AB4" s="34"/>
      <c r="AC4" s="34"/>
      <c r="AD4" s="34"/>
      <c r="AE4" s="34"/>
      <c r="AF4" s="34"/>
      <c r="AG4" s="34"/>
      <c r="AH4" s="272"/>
      <c r="AI4" s="34"/>
      <c r="AJ4" s="34"/>
      <c r="AK4" s="135" t="s">
        <v>151</v>
      </c>
      <c r="AL4" s="279" t="s">
        <v>152</v>
      </c>
      <c r="AM4" s="34"/>
      <c r="AO4" s="2" t="s">
        <v>107</v>
      </c>
      <c r="AQ4" s="2" t="s">
        <v>127</v>
      </c>
    </row>
    <row r="5" spans="1:51" ht="90" customHeight="1">
      <c r="A5" s="85" t="s">
        <v>1</v>
      </c>
      <c r="B5" s="86" t="s">
        <v>4</v>
      </c>
      <c r="C5" s="403" t="s">
        <v>83</v>
      </c>
      <c r="D5" s="404"/>
      <c r="E5" s="86" t="s">
        <v>51</v>
      </c>
      <c r="F5" s="86" t="s">
        <v>2</v>
      </c>
      <c r="G5" s="86" t="s">
        <v>72</v>
      </c>
      <c r="H5" s="86"/>
      <c r="I5" s="86" t="s">
        <v>82</v>
      </c>
      <c r="J5" s="256" t="s">
        <v>5</v>
      </c>
      <c r="K5" s="87" t="s">
        <v>0</v>
      </c>
      <c r="L5" s="57"/>
      <c r="M5" s="85" t="s">
        <v>1</v>
      </c>
      <c r="N5" s="86" t="s">
        <v>4</v>
      </c>
      <c r="O5" s="403" t="s">
        <v>83</v>
      </c>
      <c r="P5" s="404"/>
      <c r="Q5" s="86" t="s">
        <v>51</v>
      </c>
      <c r="R5" s="86" t="s">
        <v>2</v>
      </c>
      <c r="S5" s="86" t="s">
        <v>72</v>
      </c>
      <c r="T5" s="86"/>
      <c r="U5" s="86" t="s">
        <v>82</v>
      </c>
      <c r="V5" s="256" t="s">
        <v>5</v>
      </c>
      <c r="W5" s="87" t="s">
        <v>0</v>
      </c>
      <c r="X5" s="72"/>
      <c r="Y5" s="85" t="s">
        <v>1</v>
      </c>
      <c r="Z5" s="86" t="s">
        <v>4</v>
      </c>
      <c r="AA5" s="403" t="s">
        <v>83</v>
      </c>
      <c r="AB5" s="404"/>
      <c r="AC5" s="86" t="s">
        <v>51</v>
      </c>
      <c r="AD5" s="86" t="s">
        <v>2</v>
      </c>
      <c r="AE5" s="86" t="s">
        <v>72</v>
      </c>
      <c r="AF5" s="86"/>
      <c r="AG5" s="86" t="s">
        <v>82</v>
      </c>
      <c r="AH5" s="256" t="s">
        <v>5</v>
      </c>
      <c r="AI5" s="87" t="s">
        <v>0</v>
      </c>
      <c r="AJ5" s="72"/>
      <c r="AK5" s="203"/>
      <c r="AL5" s="203"/>
      <c r="AM5" s="74" t="s">
        <v>80</v>
      </c>
      <c r="AN5" s="74"/>
      <c r="AO5" s="26"/>
      <c r="AP5" s="26"/>
      <c r="AQ5" s="26"/>
      <c r="AR5" s="26"/>
      <c r="AV5" s="2" t="s">
        <v>102</v>
      </c>
      <c r="AW5" s="122" t="s">
        <v>205</v>
      </c>
      <c r="AX5" s="2">
        <f>123/6</f>
        <v>20.5</v>
      </c>
    </row>
    <row r="6" spans="1:51">
      <c r="A6" s="88">
        <v>1</v>
      </c>
      <c r="B6" s="89">
        <v>2</v>
      </c>
      <c r="C6" s="395"/>
      <c r="D6" s="396"/>
      <c r="E6" s="89">
        <v>3</v>
      </c>
      <c r="F6" s="89">
        <v>4</v>
      </c>
      <c r="G6" s="89" t="s">
        <v>71</v>
      </c>
      <c r="H6" s="89"/>
      <c r="I6" s="89">
        <v>6</v>
      </c>
      <c r="J6" s="257" t="s">
        <v>50</v>
      </c>
      <c r="K6" s="90">
        <v>8</v>
      </c>
      <c r="L6" s="57"/>
      <c r="M6" s="88">
        <v>1</v>
      </c>
      <c r="N6" s="89">
        <v>2</v>
      </c>
      <c r="O6" s="395"/>
      <c r="P6" s="396"/>
      <c r="Q6" s="89">
        <v>3</v>
      </c>
      <c r="R6" s="89">
        <v>4</v>
      </c>
      <c r="S6" s="89" t="s">
        <v>71</v>
      </c>
      <c r="T6" s="89"/>
      <c r="U6" s="89">
        <v>6</v>
      </c>
      <c r="V6" s="257" t="s">
        <v>50</v>
      </c>
      <c r="W6" s="90">
        <v>8</v>
      </c>
      <c r="X6" s="72"/>
      <c r="Y6" s="88">
        <v>1</v>
      </c>
      <c r="Z6" s="89">
        <v>2</v>
      </c>
      <c r="AA6" s="395"/>
      <c r="AB6" s="396"/>
      <c r="AC6" s="89">
        <v>3</v>
      </c>
      <c r="AD6" s="89">
        <v>4</v>
      </c>
      <c r="AE6" s="89" t="s">
        <v>71</v>
      </c>
      <c r="AF6" s="89"/>
      <c r="AG6" s="89">
        <v>6</v>
      </c>
      <c r="AH6" s="257" t="s">
        <v>50</v>
      </c>
      <c r="AI6" s="90">
        <v>8</v>
      </c>
      <c r="AJ6" s="72"/>
      <c r="AK6" s="204">
        <v>7588</v>
      </c>
      <c r="AL6" s="203">
        <v>7408</v>
      </c>
      <c r="AM6" s="74"/>
      <c r="AN6" s="74"/>
      <c r="AO6" s="197"/>
      <c r="AP6" s="198"/>
      <c r="AQ6" s="197"/>
      <c r="AR6" s="198"/>
      <c r="AV6" s="2" t="s">
        <v>103</v>
      </c>
      <c r="AW6" s="2">
        <f>13*36</f>
        <v>468</v>
      </c>
      <c r="AX6" s="2">
        <f>AW6*18</f>
        <v>8424</v>
      </c>
      <c r="AY6" s="2" t="s">
        <v>106</v>
      </c>
    </row>
    <row r="7" spans="1:51" ht="19.5">
      <c r="A7" s="397" t="s">
        <v>7</v>
      </c>
      <c r="B7" s="398"/>
      <c r="C7" s="398"/>
      <c r="D7" s="398"/>
      <c r="E7" s="398"/>
      <c r="F7" s="398"/>
      <c r="G7" s="398"/>
      <c r="H7" s="398"/>
      <c r="I7" s="398"/>
      <c r="J7" s="398"/>
      <c r="K7" s="399"/>
      <c r="L7" s="58"/>
      <c r="M7" s="397" t="s">
        <v>7</v>
      </c>
      <c r="N7" s="398"/>
      <c r="O7" s="398"/>
      <c r="P7" s="398"/>
      <c r="Q7" s="398"/>
      <c r="R7" s="398"/>
      <c r="S7" s="398"/>
      <c r="T7" s="398"/>
      <c r="U7" s="398"/>
      <c r="V7" s="398"/>
      <c r="W7" s="399"/>
      <c r="X7" s="73"/>
      <c r="Y7" s="397" t="s">
        <v>7</v>
      </c>
      <c r="Z7" s="398"/>
      <c r="AA7" s="398"/>
      <c r="AB7" s="398"/>
      <c r="AC7" s="398"/>
      <c r="AD7" s="398"/>
      <c r="AE7" s="398"/>
      <c r="AF7" s="398"/>
      <c r="AG7" s="398"/>
      <c r="AH7" s="398"/>
      <c r="AI7" s="399"/>
      <c r="AJ7" s="73"/>
      <c r="AK7" s="205"/>
      <c r="AL7" s="280"/>
      <c r="AM7" s="201"/>
      <c r="AN7" s="201"/>
      <c r="AO7" s="26"/>
      <c r="AP7" s="26"/>
      <c r="AQ7" s="26"/>
      <c r="AR7" s="26"/>
      <c r="AV7" s="2">
        <v>468</v>
      </c>
      <c r="AW7" s="21">
        <v>36</v>
      </c>
      <c r="AX7" s="2">
        <f>AW7*AV7</f>
        <v>16848</v>
      </c>
      <c r="AY7" s="2">
        <v>6</v>
      </c>
    </row>
    <row r="8" spans="1:51">
      <c r="A8" s="65">
        <v>1</v>
      </c>
      <c r="B8" s="84" t="s">
        <v>108</v>
      </c>
      <c r="C8" s="370">
        <f>1/81*F8</f>
        <v>0.14814814814814814</v>
      </c>
      <c r="D8" s="369"/>
      <c r="E8" s="30">
        <f t="shared" ref="E8:E13" si="0">C8*1774.4</f>
        <v>262.87407407407409</v>
      </c>
      <c r="F8" s="129">
        <f>C4</f>
        <v>12</v>
      </c>
      <c r="G8" s="46">
        <f t="shared" ref="G8:G13" si="1">E8/F8</f>
        <v>21.906172839506173</v>
      </c>
      <c r="H8" s="32"/>
      <c r="I8" s="36">
        <f>U8</f>
        <v>343.40396753832283</v>
      </c>
      <c r="J8" s="258">
        <f t="shared" ref="J8:J13" si="2">IFERROR(G8*I8,0)</f>
        <v>7522.666666666667</v>
      </c>
      <c r="K8" s="429"/>
      <c r="L8" s="59"/>
      <c r="M8" s="65">
        <v>1</v>
      </c>
      <c r="N8" s="84" t="s">
        <v>108</v>
      </c>
      <c r="O8" s="370">
        <f>1/81*R8</f>
        <v>0.85185185185185186</v>
      </c>
      <c r="P8" s="369"/>
      <c r="Q8" s="30">
        <f t="shared" ref="Q8:Q13" si="3">O8*1774.4</f>
        <v>1511.525925925926</v>
      </c>
      <c r="R8" s="30">
        <f>O4</f>
        <v>69</v>
      </c>
      <c r="S8" s="46">
        <f>Q8/R8</f>
        <v>21.906172839506173</v>
      </c>
      <c r="T8" s="32"/>
      <c r="U8" s="36">
        <f>(39000)*1.302/1774.4*12</f>
        <v>343.40396753832283</v>
      </c>
      <c r="V8" s="269">
        <f>IFERROR(S8*U8,0)</f>
        <v>7522.666666666667</v>
      </c>
      <c r="W8" s="422"/>
      <c r="X8" s="23"/>
      <c r="Y8" s="65">
        <v>1</v>
      </c>
      <c r="Z8" s="84" t="s">
        <v>126</v>
      </c>
      <c r="AA8" s="414">
        <v>6</v>
      </c>
      <c r="AB8" s="415"/>
      <c r="AC8" s="30">
        <f>AA8*1774.4</f>
        <v>10646.400000000001</v>
      </c>
      <c r="AD8" s="30">
        <f>AA4</f>
        <v>81</v>
      </c>
      <c r="AE8" s="46">
        <f>AC8/AD8</f>
        <v>131.43703703703704</v>
      </c>
      <c r="AF8" s="32"/>
      <c r="AG8" s="36">
        <f>(195000)*1.302/1774.4/AA8*12</f>
        <v>286.16997294860232</v>
      </c>
      <c r="AH8" s="269">
        <f>IFERROR(AE8*AG8,0)</f>
        <v>37613.333333333336</v>
      </c>
      <c r="AI8" s="425"/>
      <c r="AJ8" s="12">
        <f>O8+C8</f>
        <v>1</v>
      </c>
      <c r="AK8" s="138">
        <f>V8*R8+J8*F8</f>
        <v>609336</v>
      </c>
      <c r="AL8" s="281">
        <f>AH8*AD8</f>
        <v>3046680</v>
      </c>
      <c r="AM8" s="186">
        <v>1</v>
      </c>
      <c r="AN8" s="202"/>
      <c r="AO8" s="24"/>
      <c r="AP8" s="24"/>
      <c r="AQ8" s="24"/>
      <c r="AR8" s="24"/>
      <c r="AW8" s="21"/>
    </row>
    <row r="9" spans="1:51" outlineLevel="1">
      <c r="A9" s="65">
        <v>2</v>
      </c>
      <c r="B9" s="84" t="s">
        <v>100</v>
      </c>
      <c r="C9" s="370">
        <f>2/12*F9</f>
        <v>2</v>
      </c>
      <c r="D9" s="369"/>
      <c r="E9" s="30">
        <f t="shared" si="0"/>
        <v>3548.8</v>
      </c>
      <c r="F9" s="129">
        <f>C4</f>
        <v>12</v>
      </c>
      <c r="G9" s="46">
        <f t="shared" si="1"/>
        <v>295.73333333333335</v>
      </c>
      <c r="H9" s="32"/>
      <c r="I9" s="36">
        <f t="shared" ref="I9:I13" si="4">U9</f>
        <v>324.01264314697954</v>
      </c>
      <c r="J9" s="258">
        <f t="shared" si="2"/>
        <v>95821.339000000095</v>
      </c>
      <c r="K9" s="426"/>
      <c r="L9" s="59"/>
      <c r="M9" s="65">
        <v>2</v>
      </c>
      <c r="N9" s="84" t="s">
        <v>100</v>
      </c>
      <c r="O9" s="370">
        <f>6/69*R9</f>
        <v>6</v>
      </c>
      <c r="P9" s="369"/>
      <c r="Q9" s="30">
        <f t="shared" si="3"/>
        <v>10646.400000000001</v>
      </c>
      <c r="R9" s="30">
        <f>O4</f>
        <v>69</v>
      </c>
      <c r="S9" s="46">
        <f>Q9/R9</f>
        <v>154.29565217391306</v>
      </c>
      <c r="T9" s="32"/>
      <c r="U9" s="36">
        <f>(294381.993855607)*1.302/1774.4/8*12</f>
        <v>324.01264314697954</v>
      </c>
      <c r="V9" s="258">
        <f>IFERROR(S9*U9,0)</f>
        <v>49993.742086956569</v>
      </c>
      <c r="W9" s="423"/>
      <c r="X9" s="23"/>
      <c r="Y9" s="65">
        <v>2</v>
      </c>
      <c r="Z9" s="84"/>
      <c r="AA9" s="370"/>
      <c r="AB9" s="369"/>
      <c r="AC9" s="30"/>
      <c r="AD9" s="30"/>
      <c r="AE9" s="46"/>
      <c r="AF9" s="32"/>
      <c r="AG9" s="36"/>
      <c r="AH9" s="258"/>
      <c r="AI9" s="426"/>
      <c r="AJ9" s="12">
        <f t="shared" ref="AJ9:AJ13" si="5">O9+C9</f>
        <v>8</v>
      </c>
      <c r="AK9" s="138">
        <f>V9*R9+J9*F9</f>
        <v>4599424.2720000045</v>
      </c>
      <c r="AL9" s="282"/>
      <c r="AM9" s="186">
        <v>8</v>
      </c>
      <c r="AN9" s="202"/>
      <c r="AO9" s="24"/>
      <c r="AP9" s="24"/>
      <c r="AQ9" s="24"/>
      <c r="AR9" s="24"/>
      <c r="AS9" s="412" t="s">
        <v>52</v>
      </c>
      <c r="AT9" s="16"/>
      <c r="AU9" s="17"/>
      <c r="AX9" s="2" t="s">
        <v>81</v>
      </c>
      <c r="AY9" s="2">
        <f>ROUND(AX7/AY7,0)</f>
        <v>2808</v>
      </c>
    </row>
    <row r="10" spans="1:51" outlineLevel="1">
      <c r="A10" s="65">
        <v>3</v>
      </c>
      <c r="B10" s="84" t="s">
        <v>101</v>
      </c>
      <c r="C10" s="370">
        <f>1/81*F10</f>
        <v>0.14814814814814814</v>
      </c>
      <c r="D10" s="369"/>
      <c r="E10" s="30">
        <f t="shared" si="0"/>
        <v>262.87407407407409</v>
      </c>
      <c r="F10" s="129">
        <f>C4</f>
        <v>12</v>
      </c>
      <c r="G10" s="46">
        <f t="shared" si="1"/>
        <v>21.906172839506173</v>
      </c>
      <c r="H10" s="32"/>
      <c r="I10" s="36">
        <f t="shared" si="4"/>
        <v>245.65711000901712</v>
      </c>
      <c r="J10" s="258">
        <f t="shared" si="2"/>
        <v>5381.4071111111107</v>
      </c>
      <c r="K10" s="426"/>
      <c r="L10" s="59"/>
      <c r="M10" s="65">
        <v>3</v>
      </c>
      <c r="N10" s="84" t="s">
        <v>101</v>
      </c>
      <c r="O10" s="370">
        <f>1/81*R10</f>
        <v>0.85185185185185186</v>
      </c>
      <c r="P10" s="369"/>
      <c r="Q10" s="30">
        <f t="shared" si="3"/>
        <v>1511.525925925926</v>
      </c>
      <c r="R10" s="30">
        <f>O4</f>
        <v>69</v>
      </c>
      <c r="S10" s="46">
        <f>Q10/R10</f>
        <v>21.906172839506173</v>
      </c>
      <c r="T10" s="32"/>
      <c r="U10" s="36">
        <f>(27899)*1.302/1774.4/1*12</f>
        <v>245.65711000901712</v>
      </c>
      <c r="V10" s="258">
        <f>IFERROR(S10*U10,0)</f>
        <v>5381.4071111111107</v>
      </c>
      <c r="W10" s="423"/>
      <c r="X10" s="23"/>
      <c r="Y10" s="65">
        <v>3</v>
      </c>
      <c r="Z10" s="84"/>
      <c r="AA10" s="370"/>
      <c r="AB10" s="369"/>
      <c r="AC10" s="30"/>
      <c r="AD10" s="30"/>
      <c r="AE10" s="46"/>
      <c r="AF10" s="32"/>
      <c r="AG10" s="36"/>
      <c r="AH10" s="258"/>
      <c r="AI10" s="426"/>
      <c r="AJ10" s="12">
        <f t="shared" si="5"/>
        <v>1</v>
      </c>
      <c r="AK10" s="138">
        <f t="shared" ref="AK10:AK13" si="6">V10*R10+J10*F10</f>
        <v>435893.97599999997</v>
      </c>
      <c r="AL10" s="282"/>
      <c r="AM10" s="186">
        <v>1</v>
      </c>
      <c r="AN10" s="186"/>
      <c r="AO10" s="24"/>
      <c r="AP10" s="24"/>
      <c r="AQ10" s="24"/>
      <c r="AR10" s="24"/>
      <c r="AS10" s="412"/>
      <c r="AT10" s="16"/>
      <c r="AU10" s="17"/>
      <c r="AY10" s="2">
        <f>AY9*81</f>
        <v>227448</v>
      </c>
    </row>
    <row r="11" spans="1:51" outlineLevel="1">
      <c r="A11" s="65">
        <v>4</v>
      </c>
      <c r="B11" s="108" t="s">
        <v>159</v>
      </c>
      <c r="C11" s="370">
        <f>0.5/81*F11</f>
        <v>7.407407407407407E-2</v>
      </c>
      <c r="D11" s="369"/>
      <c r="E11" s="30">
        <f t="shared" si="0"/>
        <v>131.43703703703704</v>
      </c>
      <c r="F11" s="129">
        <f>C4</f>
        <v>12</v>
      </c>
      <c r="G11" s="46">
        <f t="shared" si="1"/>
        <v>10.953086419753086</v>
      </c>
      <c r="H11" s="32"/>
      <c r="I11" s="36">
        <f t="shared" si="4"/>
        <v>245.66591523895403</v>
      </c>
      <c r="J11" s="258">
        <f t="shared" si="2"/>
        <v>2690.8</v>
      </c>
      <c r="K11" s="426"/>
      <c r="L11" s="59"/>
      <c r="M11" s="65">
        <v>4</v>
      </c>
      <c r="N11" s="108" t="s">
        <v>159</v>
      </c>
      <c r="O11" s="370">
        <f>0.5/81*R11</f>
        <v>0.42592592592592593</v>
      </c>
      <c r="P11" s="369"/>
      <c r="Q11" s="30">
        <f t="shared" si="3"/>
        <v>755.762962962963</v>
      </c>
      <c r="R11" s="30">
        <f>O4</f>
        <v>69</v>
      </c>
      <c r="S11" s="46">
        <f t="shared" ref="S11:S12" si="7">Q11/R11</f>
        <v>10.953086419753086</v>
      </c>
      <c r="T11" s="32"/>
      <c r="U11" s="36">
        <f>(13950)*1.302/1774.4*12/0.5</f>
        <v>245.66591523895403</v>
      </c>
      <c r="V11" s="258">
        <f t="shared" ref="V11:V12" si="8">IFERROR(S11*U11,0)</f>
        <v>2690.8</v>
      </c>
      <c r="W11" s="423"/>
      <c r="X11" s="23"/>
      <c r="Y11" s="65">
        <v>4</v>
      </c>
      <c r="Z11" s="84"/>
      <c r="AA11" s="370"/>
      <c r="AB11" s="369"/>
      <c r="AC11" s="30"/>
      <c r="AD11" s="30"/>
      <c r="AE11" s="46"/>
      <c r="AF11" s="32"/>
      <c r="AG11" s="36"/>
      <c r="AH11" s="258"/>
      <c r="AI11" s="426"/>
      <c r="AJ11" s="12">
        <f t="shared" si="5"/>
        <v>0.5</v>
      </c>
      <c r="AK11" s="138">
        <f t="shared" si="6"/>
        <v>217954.80000000002</v>
      </c>
      <c r="AL11" s="282">
        <f>AM81</f>
        <v>0</v>
      </c>
      <c r="AM11" s="186">
        <v>0.5</v>
      </c>
      <c r="AN11" s="186"/>
      <c r="AO11" s="24"/>
      <c r="AP11" s="24"/>
      <c r="AQ11" s="24"/>
      <c r="AR11" s="24"/>
      <c r="AS11" s="412"/>
    </row>
    <row r="12" spans="1:51" outlineLevel="1">
      <c r="A12" s="65">
        <v>5</v>
      </c>
      <c r="B12" s="84" t="s">
        <v>104</v>
      </c>
      <c r="C12" s="370">
        <f>1/81*F12</f>
        <v>0.14814814814814814</v>
      </c>
      <c r="D12" s="369"/>
      <c r="E12" s="30">
        <f t="shared" si="0"/>
        <v>262.87407407407409</v>
      </c>
      <c r="F12" s="129">
        <f>C4</f>
        <v>12</v>
      </c>
      <c r="G12" s="46">
        <f t="shared" si="1"/>
        <v>21.906172839506173</v>
      </c>
      <c r="H12" s="32"/>
      <c r="I12" s="36">
        <f t="shared" si="4"/>
        <v>245.65711000901712</v>
      </c>
      <c r="J12" s="258">
        <f t="shared" si="2"/>
        <v>5381.4071111111107</v>
      </c>
      <c r="K12" s="426"/>
      <c r="L12" s="59"/>
      <c r="M12" s="65">
        <v>5</v>
      </c>
      <c r="N12" s="84" t="s">
        <v>104</v>
      </c>
      <c r="O12" s="370">
        <f>1/81*R12</f>
        <v>0.85185185185185186</v>
      </c>
      <c r="P12" s="369"/>
      <c r="Q12" s="30">
        <f t="shared" si="3"/>
        <v>1511.525925925926</v>
      </c>
      <c r="R12" s="30">
        <f>O4</f>
        <v>69</v>
      </c>
      <c r="S12" s="46">
        <f t="shared" si="7"/>
        <v>21.906172839506173</v>
      </c>
      <c r="T12" s="32"/>
      <c r="U12" s="36">
        <f>(27899)*1.302/1774.4*12</f>
        <v>245.65711000901712</v>
      </c>
      <c r="V12" s="258">
        <f t="shared" si="8"/>
        <v>5381.4071111111107</v>
      </c>
      <c r="W12" s="423"/>
      <c r="X12" s="23"/>
      <c r="Y12" s="65">
        <v>5</v>
      </c>
      <c r="Z12" s="84"/>
      <c r="AA12" s="370"/>
      <c r="AB12" s="369"/>
      <c r="AC12" s="30"/>
      <c r="AD12" s="30"/>
      <c r="AE12" s="46"/>
      <c r="AF12" s="32"/>
      <c r="AG12" s="36"/>
      <c r="AH12" s="258"/>
      <c r="AI12" s="426"/>
      <c r="AJ12" s="12">
        <f t="shared" si="5"/>
        <v>1</v>
      </c>
      <c r="AK12" s="138">
        <f t="shared" si="6"/>
        <v>435893.97599999997</v>
      </c>
      <c r="AL12" s="282"/>
      <c r="AM12" s="186">
        <v>1</v>
      </c>
      <c r="AN12" s="186"/>
      <c r="AO12" s="24"/>
      <c r="AP12" s="24"/>
      <c r="AQ12" s="24"/>
      <c r="AR12" s="24"/>
      <c r="AS12" s="412"/>
    </row>
    <row r="13" spans="1:51" ht="30" outlineLevel="1">
      <c r="A13" s="65">
        <v>6</v>
      </c>
      <c r="B13" s="84" t="s">
        <v>105</v>
      </c>
      <c r="C13" s="370">
        <f>1/81*F13</f>
        <v>0.14814814814814814</v>
      </c>
      <c r="D13" s="369"/>
      <c r="E13" s="30">
        <f t="shared" si="0"/>
        <v>262.87407407407409</v>
      </c>
      <c r="F13" s="129">
        <f>C4</f>
        <v>12</v>
      </c>
      <c r="G13" s="46">
        <f t="shared" si="1"/>
        <v>21.906172839506173</v>
      </c>
      <c r="H13" s="32"/>
      <c r="I13" s="36">
        <f t="shared" si="4"/>
        <v>245.65711000901712</v>
      </c>
      <c r="J13" s="258">
        <f t="shared" si="2"/>
        <v>5381.4071111111107</v>
      </c>
      <c r="K13" s="426"/>
      <c r="L13" s="171"/>
      <c r="M13" s="65">
        <v>6</v>
      </c>
      <c r="N13" s="84" t="s">
        <v>105</v>
      </c>
      <c r="O13" s="370">
        <f>1/81*R13</f>
        <v>0.85185185185185186</v>
      </c>
      <c r="P13" s="369"/>
      <c r="Q13" s="30">
        <f t="shared" si="3"/>
        <v>1511.525925925926</v>
      </c>
      <c r="R13" s="30">
        <f>O4</f>
        <v>69</v>
      </c>
      <c r="S13" s="46">
        <f>Q13/R13</f>
        <v>21.906172839506173</v>
      </c>
      <c r="T13" s="32"/>
      <c r="U13" s="36">
        <f>(27899)*1.302/1774.4*12</f>
        <v>245.65711000901712</v>
      </c>
      <c r="V13" s="258">
        <f>IFERROR(S13*U13,0)</f>
        <v>5381.4071111111107</v>
      </c>
      <c r="W13" s="423"/>
      <c r="X13" s="185"/>
      <c r="Y13" s="65">
        <v>6</v>
      </c>
      <c r="Z13" s="84"/>
      <c r="AA13" s="370"/>
      <c r="AB13" s="369"/>
      <c r="AC13" s="30"/>
      <c r="AD13" s="30"/>
      <c r="AE13" s="46"/>
      <c r="AF13" s="32"/>
      <c r="AG13" s="36"/>
      <c r="AH13" s="258"/>
      <c r="AI13" s="427"/>
      <c r="AJ13" s="12">
        <f t="shared" si="5"/>
        <v>1</v>
      </c>
      <c r="AK13" s="138">
        <f t="shared" si="6"/>
        <v>435893.97599999997</v>
      </c>
      <c r="AL13" s="282"/>
      <c r="AM13" s="186">
        <v>1</v>
      </c>
      <c r="AN13" s="186"/>
      <c r="AO13" s="24"/>
      <c r="AP13" s="24"/>
      <c r="AQ13" s="24"/>
      <c r="AR13" s="24"/>
      <c r="AS13" s="412"/>
    </row>
    <row r="14" spans="1:51" outlineLevel="1">
      <c r="A14" s="405" t="s">
        <v>40</v>
      </c>
      <c r="B14" s="405"/>
      <c r="C14" s="405"/>
      <c r="D14" s="405"/>
      <c r="E14" s="405"/>
      <c r="F14" s="405"/>
      <c r="G14" s="405"/>
      <c r="H14" s="405"/>
      <c r="I14" s="405"/>
      <c r="J14" s="259">
        <f>SUM(J8:J13)</f>
        <v>122179.0270000001</v>
      </c>
      <c r="K14" s="427"/>
      <c r="L14" s="59"/>
      <c r="M14" s="413" t="s">
        <v>40</v>
      </c>
      <c r="N14" s="405"/>
      <c r="O14" s="405"/>
      <c r="P14" s="405"/>
      <c r="Q14" s="405"/>
      <c r="R14" s="405"/>
      <c r="S14" s="405"/>
      <c r="T14" s="405"/>
      <c r="U14" s="405"/>
      <c r="V14" s="259">
        <f>SUM(V8:V13)</f>
        <v>76351.430086956563</v>
      </c>
      <c r="W14" s="424"/>
      <c r="X14" s="23"/>
      <c r="Y14" s="405" t="s">
        <v>40</v>
      </c>
      <c r="Z14" s="405"/>
      <c r="AA14" s="405"/>
      <c r="AB14" s="405"/>
      <c r="AC14" s="405"/>
      <c r="AD14" s="405"/>
      <c r="AE14" s="405"/>
      <c r="AF14" s="405"/>
      <c r="AG14" s="405"/>
      <c r="AH14" s="259">
        <f>SUM(AH8:AH13)</f>
        <v>37613.333333333336</v>
      </c>
      <c r="AI14" s="66"/>
      <c r="AJ14" s="12">
        <f>AH14*AD8+V14*R8+J14*F8</f>
        <v>9781077.0000000037</v>
      </c>
      <c r="AK14" s="151">
        <f>AK8+AK9+AK10+AK11+AK12+AK13</f>
        <v>6734397.0000000037</v>
      </c>
      <c r="AL14" s="283">
        <f>AF140</f>
        <v>6734397</v>
      </c>
      <c r="AM14" s="192">
        <f>AL14-AK14</f>
        <v>0</v>
      </c>
      <c r="AN14" s="187"/>
      <c r="AO14" s="24"/>
      <c r="AP14" s="24"/>
      <c r="AQ14" s="24"/>
      <c r="AR14" s="24"/>
      <c r="AS14" s="412"/>
    </row>
    <row r="15" spans="1:51" s="34" customFormat="1" outlineLevel="1">
      <c r="A15" s="430"/>
      <c r="B15" s="431"/>
      <c r="C15" s="431"/>
      <c r="D15" s="431"/>
      <c r="E15" s="431"/>
      <c r="F15" s="431"/>
      <c r="G15" s="431"/>
      <c r="H15" s="431"/>
      <c r="I15" s="431"/>
      <c r="J15" s="431"/>
      <c r="K15" s="432"/>
      <c r="L15" s="60"/>
      <c r="M15" s="67"/>
      <c r="N15" s="33"/>
      <c r="O15" s="33"/>
      <c r="P15" s="33"/>
      <c r="Q15" s="33"/>
      <c r="R15" s="33"/>
      <c r="S15" s="33"/>
      <c r="T15" s="33"/>
      <c r="U15" s="33"/>
      <c r="V15" s="270"/>
      <c r="W15" s="213">
        <f>AK44</f>
        <v>0</v>
      </c>
      <c r="X15" s="25"/>
      <c r="Y15" s="67"/>
      <c r="Z15" s="33"/>
      <c r="AA15" s="33"/>
      <c r="AB15" s="33"/>
      <c r="AC15" s="33"/>
      <c r="AD15" s="33"/>
      <c r="AE15" s="33"/>
      <c r="AF15" s="33"/>
      <c r="AG15" s="33"/>
      <c r="AH15" s="270"/>
      <c r="AI15" s="68"/>
      <c r="AJ15" s="132">
        <f>AJ14-AK15</f>
        <v>0</v>
      </c>
      <c r="AK15" s="140">
        <f>AL8+AK14</f>
        <v>9781077.0000000037</v>
      </c>
      <c r="AL15" s="139"/>
      <c r="AM15" s="188"/>
      <c r="AN15" s="188"/>
      <c r="AO15" s="194"/>
      <c r="AP15" s="194"/>
      <c r="AQ15" s="194"/>
      <c r="AR15" s="194"/>
    </row>
    <row r="16" spans="1:51" s="6" customFormat="1" ht="78.75">
      <c r="A16" s="91" t="s">
        <v>1</v>
      </c>
      <c r="B16" s="92" t="s">
        <v>3</v>
      </c>
      <c r="C16" s="393"/>
      <c r="D16" s="394"/>
      <c r="E16" s="92" t="s">
        <v>58</v>
      </c>
      <c r="F16" s="92" t="s">
        <v>2</v>
      </c>
      <c r="G16" s="89" t="s">
        <v>53</v>
      </c>
      <c r="H16" s="89" t="s">
        <v>68</v>
      </c>
      <c r="I16" s="89" t="s">
        <v>69</v>
      </c>
      <c r="J16" s="257" t="s">
        <v>5</v>
      </c>
      <c r="K16" s="90" t="s">
        <v>0</v>
      </c>
      <c r="L16" s="57"/>
      <c r="M16" s="91" t="s">
        <v>1</v>
      </c>
      <c r="N16" s="92" t="s">
        <v>3</v>
      </c>
      <c r="O16" s="393"/>
      <c r="P16" s="394"/>
      <c r="Q16" s="92" t="s">
        <v>58</v>
      </c>
      <c r="R16" s="92" t="s">
        <v>2</v>
      </c>
      <c r="S16" s="89" t="s">
        <v>53</v>
      </c>
      <c r="T16" s="89" t="s">
        <v>68</v>
      </c>
      <c r="U16" s="89" t="s">
        <v>69</v>
      </c>
      <c r="V16" s="257" t="s">
        <v>5</v>
      </c>
      <c r="W16" s="90" t="s">
        <v>0</v>
      </c>
      <c r="X16" s="72"/>
      <c r="Y16" s="91" t="s">
        <v>1</v>
      </c>
      <c r="Z16" s="92" t="s">
        <v>3</v>
      </c>
      <c r="AA16" s="393"/>
      <c r="AB16" s="394"/>
      <c r="AC16" s="92" t="s">
        <v>58</v>
      </c>
      <c r="AD16" s="92" t="s">
        <v>2</v>
      </c>
      <c r="AE16" s="89" t="s">
        <v>53</v>
      </c>
      <c r="AF16" s="89" t="s">
        <v>68</v>
      </c>
      <c r="AG16" s="89" t="s">
        <v>69</v>
      </c>
      <c r="AH16" s="257" t="s">
        <v>5</v>
      </c>
      <c r="AI16" s="90" t="s">
        <v>0</v>
      </c>
      <c r="AJ16" s="72"/>
      <c r="AK16" s="203"/>
      <c r="AL16" s="203"/>
      <c r="AM16" s="74"/>
      <c r="AN16" s="207"/>
      <c r="AO16" s="199"/>
      <c r="AP16" s="200"/>
      <c r="AQ16" s="200"/>
      <c r="AR16" s="200"/>
    </row>
    <row r="17" spans="1:48">
      <c r="A17" s="88">
        <v>1</v>
      </c>
      <c r="B17" s="89">
        <v>2</v>
      </c>
      <c r="C17" s="395"/>
      <c r="D17" s="396"/>
      <c r="E17" s="89">
        <v>3</v>
      </c>
      <c r="F17" s="89">
        <v>4</v>
      </c>
      <c r="G17" s="89" t="s">
        <v>71</v>
      </c>
      <c r="H17" s="89">
        <v>6</v>
      </c>
      <c r="I17" s="89">
        <v>7</v>
      </c>
      <c r="J17" s="257" t="s">
        <v>55</v>
      </c>
      <c r="K17" s="90">
        <v>9</v>
      </c>
      <c r="L17" s="57"/>
      <c r="M17" s="88">
        <v>1</v>
      </c>
      <c r="N17" s="89">
        <v>2</v>
      </c>
      <c r="O17" s="395"/>
      <c r="P17" s="396"/>
      <c r="Q17" s="89">
        <v>3</v>
      </c>
      <c r="R17" s="89">
        <v>4</v>
      </c>
      <c r="S17" s="89" t="s">
        <v>71</v>
      </c>
      <c r="T17" s="89">
        <v>6</v>
      </c>
      <c r="U17" s="89">
        <v>7</v>
      </c>
      <c r="V17" s="257" t="s">
        <v>55</v>
      </c>
      <c r="W17" s="90">
        <v>9</v>
      </c>
      <c r="X17" s="72"/>
      <c r="Y17" s="88">
        <v>1</v>
      </c>
      <c r="Z17" s="89">
        <v>2</v>
      </c>
      <c r="AA17" s="395"/>
      <c r="AB17" s="396"/>
      <c r="AC17" s="89">
        <v>3</v>
      </c>
      <c r="AD17" s="89">
        <v>4</v>
      </c>
      <c r="AE17" s="89" t="s">
        <v>71</v>
      </c>
      <c r="AF17" s="89">
        <v>6</v>
      </c>
      <c r="AG17" s="89">
        <v>7</v>
      </c>
      <c r="AH17" s="257" t="s">
        <v>55</v>
      </c>
      <c r="AI17" s="90">
        <v>9</v>
      </c>
      <c r="AJ17" s="72"/>
      <c r="AK17" s="203"/>
      <c r="AL17" s="203"/>
      <c r="AM17" s="72"/>
      <c r="AN17" s="72"/>
      <c r="AO17" s="26"/>
      <c r="AP17" s="26"/>
      <c r="AQ17" s="26"/>
      <c r="AR17" s="26"/>
    </row>
    <row r="18" spans="1:48" ht="19.5">
      <c r="A18" s="397" t="s">
        <v>6</v>
      </c>
      <c r="B18" s="398"/>
      <c r="C18" s="398"/>
      <c r="D18" s="398"/>
      <c r="E18" s="398"/>
      <c r="F18" s="398"/>
      <c r="G18" s="398"/>
      <c r="H18" s="398"/>
      <c r="I18" s="398"/>
      <c r="J18" s="398"/>
      <c r="K18" s="399"/>
      <c r="L18" s="58"/>
      <c r="M18" s="397" t="s">
        <v>6</v>
      </c>
      <c r="N18" s="398"/>
      <c r="O18" s="398"/>
      <c r="P18" s="398"/>
      <c r="Q18" s="398"/>
      <c r="R18" s="398"/>
      <c r="S18" s="398"/>
      <c r="T18" s="398"/>
      <c r="U18" s="398"/>
      <c r="V18" s="398"/>
      <c r="W18" s="399"/>
      <c r="X18" s="73"/>
      <c r="Y18" s="397" t="s">
        <v>6</v>
      </c>
      <c r="Z18" s="398"/>
      <c r="AA18" s="398"/>
      <c r="AB18" s="398"/>
      <c r="AC18" s="398"/>
      <c r="AD18" s="398"/>
      <c r="AE18" s="398"/>
      <c r="AF18" s="398"/>
      <c r="AG18" s="398"/>
      <c r="AH18" s="398"/>
      <c r="AI18" s="399"/>
      <c r="AJ18" s="73" t="s">
        <v>206</v>
      </c>
      <c r="AK18" s="205">
        <v>7588</v>
      </c>
      <c r="AL18" s="280">
        <v>7408</v>
      </c>
      <c r="AM18" s="73" t="s">
        <v>206</v>
      </c>
      <c r="AN18" s="73"/>
      <c r="AO18" s="26"/>
      <c r="AP18" s="26"/>
      <c r="AQ18" s="26"/>
      <c r="AR18" s="26"/>
      <c r="AS18" s="26"/>
      <c r="AT18" s="26"/>
      <c r="AU18" s="26"/>
      <c r="AV18" s="26"/>
    </row>
    <row r="19" spans="1:48" s="182" customFormat="1" outlineLevel="2">
      <c r="A19" s="172">
        <v>1</v>
      </c>
      <c r="B19" s="148" t="str">
        <f>N19</f>
        <v>Машинки</v>
      </c>
      <c r="C19" s="371" t="str">
        <f>O19</f>
        <v>шт</v>
      </c>
      <c r="D19" s="372"/>
      <c r="E19" s="173">
        <f>8/81*F19</f>
        <v>1.1851851851851851</v>
      </c>
      <c r="F19" s="174">
        <f>F9</f>
        <v>12</v>
      </c>
      <c r="G19" s="175">
        <f>E19/F19</f>
        <v>9.8765432098765427E-2</v>
      </c>
      <c r="H19" s="176">
        <v>1</v>
      </c>
      <c r="I19" s="177">
        <f>U19</f>
        <v>300</v>
      </c>
      <c r="J19" s="260">
        <f>IFERROR(G19*I19/H19,0)</f>
        <v>29.629629629629626</v>
      </c>
      <c r="K19" s="406" t="s">
        <v>54</v>
      </c>
      <c r="L19" s="178"/>
      <c r="M19" s="172">
        <v>1</v>
      </c>
      <c r="N19" s="206" t="s">
        <v>160</v>
      </c>
      <c r="O19" s="371" t="s">
        <v>142</v>
      </c>
      <c r="P19" s="372"/>
      <c r="Q19" s="173">
        <f>8/81*R19</f>
        <v>6.8148148148148149</v>
      </c>
      <c r="R19" s="174">
        <f>R9</f>
        <v>69</v>
      </c>
      <c r="S19" s="175">
        <f>Q19/R19</f>
        <v>9.8765432098765427E-2</v>
      </c>
      <c r="T19" s="176">
        <v>1</v>
      </c>
      <c r="U19" s="177">
        <v>300</v>
      </c>
      <c r="V19" s="260">
        <f>IFERROR(S19*U19/T19,0)</f>
        <v>29.629629629629626</v>
      </c>
      <c r="W19" s="406" t="s">
        <v>54</v>
      </c>
      <c r="X19" s="179"/>
      <c r="Y19" s="172">
        <v>1</v>
      </c>
      <c r="Z19" s="148" t="s">
        <v>128</v>
      </c>
      <c r="AA19" s="371" t="s">
        <v>142</v>
      </c>
      <c r="AB19" s="372"/>
      <c r="AC19" s="173">
        <v>81</v>
      </c>
      <c r="AD19" s="174">
        <f>AD8</f>
        <v>81</v>
      </c>
      <c r="AE19" s="175">
        <f>AC19/AD19</f>
        <v>1</v>
      </c>
      <c r="AF19" s="180">
        <v>1</v>
      </c>
      <c r="AG19" s="181">
        <v>90</v>
      </c>
      <c r="AH19" s="260">
        <f t="shared" ref="AH19:AH41" si="9">IFERROR(AE19*AG19/AF19,0)</f>
        <v>90</v>
      </c>
      <c r="AI19" s="406" t="s">
        <v>54</v>
      </c>
      <c r="AJ19" s="208">
        <f>E19+Q19</f>
        <v>8</v>
      </c>
      <c r="AK19" s="209">
        <f>V19*R19+J19*F19</f>
        <v>2399.9999999999995</v>
      </c>
      <c r="AL19" s="220">
        <f>AH19*AD19</f>
        <v>7290</v>
      </c>
      <c r="AM19" s="179">
        <f>AC19</f>
        <v>81</v>
      </c>
      <c r="AN19" s="179"/>
      <c r="AO19" s="211"/>
      <c r="AP19" s="211"/>
      <c r="AQ19" s="211"/>
      <c r="AR19" s="211"/>
      <c r="AS19" s="211"/>
      <c r="AT19" s="211"/>
      <c r="AU19" s="211"/>
      <c r="AV19" s="211"/>
    </row>
    <row r="20" spans="1:48" s="182" customFormat="1" ht="30" outlineLevel="2">
      <c r="A20" s="172">
        <v>2</v>
      </c>
      <c r="B20" s="148" t="str">
        <f t="shared" ref="B20:B41" si="10">N20</f>
        <v xml:space="preserve">Куклы </v>
      </c>
      <c r="C20" s="371" t="str">
        <f t="shared" ref="C20:C32" si="11">O20</f>
        <v>шт</v>
      </c>
      <c r="D20" s="372"/>
      <c r="E20" s="173">
        <f>8/81*F20</f>
        <v>1.1851851851851851</v>
      </c>
      <c r="F20" s="174">
        <f>F9</f>
        <v>12</v>
      </c>
      <c r="G20" s="175">
        <f t="shared" ref="G20:G31" si="12">E20/F20</f>
        <v>9.8765432098765427E-2</v>
      </c>
      <c r="H20" s="176">
        <v>1</v>
      </c>
      <c r="I20" s="177">
        <f t="shared" ref="I20:I32" si="13">U20</f>
        <v>300</v>
      </c>
      <c r="J20" s="260">
        <f t="shared" ref="J20:J32" si="14">IFERROR(G20*I20/H20,0)</f>
        <v>29.629629629629626</v>
      </c>
      <c r="K20" s="407"/>
      <c r="L20" s="178"/>
      <c r="M20" s="172">
        <v>2</v>
      </c>
      <c r="N20" s="148" t="s">
        <v>114</v>
      </c>
      <c r="O20" s="371" t="s">
        <v>142</v>
      </c>
      <c r="P20" s="372"/>
      <c r="Q20" s="173">
        <f>8/81*R20</f>
        <v>6.8148148148148149</v>
      </c>
      <c r="R20" s="174">
        <f>R9</f>
        <v>69</v>
      </c>
      <c r="S20" s="175">
        <f t="shared" ref="S20:S30" si="15">Q20/R20</f>
        <v>9.8765432098765427E-2</v>
      </c>
      <c r="T20" s="176">
        <v>1</v>
      </c>
      <c r="U20" s="177">
        <v>300</v>
      </c>
      <c r="V20" s="260">
        <f t="shared" ref="V20:V30" si="16">IFERROR(S20*U20/T20,0)</f>
        <v>29.629629629629626</v>
      </c>
      <c r="W20" s="407"/>
      <c r="X20" s="179"/>
      <c r="Y20" s="172">
        <v>2</v>
      </c>
      <c r="Z20" s="148" t="s">
        <v>167</v>
      </c>
      <c r="AA20" s="371" t="s">
        <v>142</v>
      </c>
      <c r="AB20" s="372"/>
      <c r="AC20" s="173">
        <v>81</v>
      </c>
      <c r="AD20" s="174">
        <f>AD8</f>
        <v>81</v>
      </c>
      <c r="AE20" s="175">
        <f t="shared" ref="AE20:AE33" si="17">AC20/AD20</f>
        <v>1</v>
      </c>
      <c r="AF20" s="180">
        <v>1</v>
      </c>
      <c r="AG20" s="181">
        <v>90</v>
      </c>
      <c r="AH20" s="260">
        <f t="shared" si="9"/>
        <v>90</v>
      </c>
      <c r="AI20" s="407"/>
      <c r="AJ20" s="208">
        <f t="shared" ref="AJ20:AJ41" si="18">E20+Q20</f>
        <v>8</v>
      </c>
      <c r="AK20" s="209">
        <f t="shared" ref="AK20:AK41" si="19">V20*R20+J20*F20</f>
        <v>2399.9999999999995</v>
      </c>
      <c r="AL20" s="220">
        <f t="shared" ref="AL20:AL41" si="20">AH20*AD20</f>
        <v>7290</v>
      </c>
      <c r="AM20" s="179">
        <f t="shared" ref="AM20:AM41" si="21">AC20</f>
        <v>81</v>
      </c>
      <c r="AN20" s="179"/>
      <c r="AO20" s="211"/>
      <c r="AP20" s="211"/>
      <c r="AQ20" s="211"/>
      <c r="AR20" s="211"/>
      <c r="AS20" s="211"/>
      <c r="AT20" s="211"/>
      <c r="AU20" s="211"/>
      <c r="AV20" s="211"/>
    </row>
    <row r="21" spans="1:48" s="182" customFormat="1" outlineLevel="2">
      <c r="A21" s="172">
        <v>3</v>
      </c>
      <c r="B21" s="148" t="str">
        <f t="shared" si="10"/>
        <v>Коляски кукольные</v>
      </c>
      <c r="C21" s="371" t="str">
        <f t="shared" si="11"/>
        <v>шт</v>
      </c>
      <c r="D21" s="372"/>
      <c r="E21" s="173">
        <f>8/81*F21</f>
        <v>1.1851851851851851</v>
      </c>
      <c r="F21" s="174">
        <f>F9</f>
        <v>12</v>
      </c>
      <c r="G21" s="175">
        <f t="shared" si="12"/>
        <v>9.8765432098765427E-2</v>
      </c>
      <c r="H21" s="176">
        <v>1</v>
      </c>
      <c r="I21" s="177">
        <f t="shared" si="13"/>
        <v>500</v>
      </c>
      <c r="J21" s="260">
        <f>IFERROR(G21*I21/H21,0)</f>
        <v>49.382716049382715</v>
      </c>
      <c r="K21" s="407"/>
      <c r="L21" s="178"/>
      <c r="M21" s="172">
        <v>3</v>
      </c>
      <c r="N21" s="148" t="s">
        <v>109</v>
      </c>
      <c r="O21" s="371" t="s">
        <v>142</v>
      </c>
      <c r="P21" s="372"/>
      <c r="Q21" s="173">
        <f>8/81*R21</f>
        <v>6.8148148148148149</v>
      </c>
      <c r="R21" s="174">
        <f>R9</f>
        <v>69</v>
      </c>
      <c r="S21" s="175">
        <f t="shared" si="15"/>
        <v>9.8765432098765427E-2</v>
      </c>
      <c r="T21" s="176">
        <v>1</v>
      </c>
      <c r="U21" s="177">
        <v>500</v>
      </c>
      <c r="V21" s="260">
        <f t="shared" si="16"/>
        <v>49.382716049382715</v>
      </c>
      <c r="W21" s="407"/>
      <c r="X21" s="179"/>
      <c r="Y21" s="172">
        <v>3</v>
      </c>
      <c r="Z21" s="148" t="s">
        <v>129</v>
      </c>
      <c r="AA21" s="371" t="s">
        <v>142</v>
      </c>
      <c r="AB21" s="372"/>
      <c r="AC21" s="173">
        <v>6</v>
      </c>
      <c r="AD21" s="174">
        <f>AD8</f>
        <v>81</v>
      </c>
      <c r="AE21" s="175">
        <f t="shared" si="17"/>
        <v>7.407407407407407E-2</v>
      </c>
      <c r="AF21" s="180">
        <v>1</v>
      </c>
      <c r="AG21" s="181">
        <v>300</v>
      </c>
      <c r="AH21" s="260">
        <f t="shared" si="9"/>
        <v>22.222222222222221</v>
      </c>
      <c r="AI21" s="407"/>
      <c r="AJ21" s="208">
        <f t="shared" si="18"/>
        <v>8</v>
      </c>
      <c r="AK21" s="209">
        <f t="shared" si="19"/>
        <v>4000</v>
      </c>
      <c r="AL21" s="220">
        <f t="shared" si="20"/>
        <v>1800</v>
      </c>
      <c r="AM21" s="179">
        <f t="shared" si="21"/>
        <v>6</v>
      </c>
      <c r="AN21" s="179"/>
      <c r="AO21" s="211"/>
      <c r="AP21" s="211"/>
      <c r="AQ21" s="211"/>
      <c r="AR21" s="211"/>
      <c r="AS21" s="211"/>
      <c r="AT21" s="211"/>
      <c r="AU21" s="211"/>
      <c r="AV21" s="211"/>
    </row>
    <row r="22" spans="1:48" s="182" customFormat="1" outlineLevel="2">
      <c r="A22" s="172">
        <v>4</v>
      </c>
      <c r="B22" s="148" t="str">
        <f t="shared" si="10"/>
        <v xml:space="preserve">Мячи в ассортименте </v>
      </c>
      <c r="C22" s="371" t="str">
        <f t="shared" si="11"/>
        <v>шт</v>
      </c>
      <c r="D22" s="372"/>
      <c r="E22" s="173">
        <f>12/81*F22</f>
        <v>1.7777777777777777</v>
      </c>
      <c r="F22" s="174">
        <f>F9</f>
        <v>12</v>
      </c>
      <c r="G22" s="175">
        <f t="shared" si="12"/>
        <v>0.14814814814814814</v>
      </c>
      <c r="H22" s="176">
        <v>1</v>
      </c>
      <c r="I22" s="177">
        <f t="shared" si="13"/>
        <v>55</v>
      </c>
      <c r="J22" s="260">
        <f t="shared" si="14"/>
        <v>8.148148148148147</v>
      </c>
      <c r="K22" s="407"/>
      <c r="L22" s="183"/>
      <c r="M22" s="172">
        <v>4</v>
      </c>
      <c r="N22" s="148" t="s">
        <v>110</v>
      </c>
      <c r="O22" s="371" t="s">
        <v>142</v>
      </c>
      <c r="P22" s="372"/>
      <c r="Q22" s="173">
        <f>12/81*R22</f>
        <v>10.222222222222221</v>
      </c>
      <c r="R22" s="174">
        <f>R9</f>
        <v>69</v>
      </c>
      <c r="S22" s="175">
        <f t="shared" si="15"/>
        <v>0.14814814814814814</v>
      </c>
      <c r="T22" s="176">
        <v>1</v>
      </c>
      <c r="U22" s="177">
        <v>55</v>
      </c>
      <c r="V22" s="260">
        <f t="shared" si="16"/>
        <v>8.148148148148147</v>
      </c>
      <c r="W22" s="407"/>
      <c r="X22" s="179"/>
      <c r="Y22" s="172">
        <v>4</v>
      </c>
      <c r="Z22" s="184" t="s">
        <v>164</v>
      </c>
      <c r="AA22" s="371" t="s">
        <v>142</v>
      </c>
      <c r="AB22" s="372"/>
      <c r="AC22" s="173">
        <v>2</v>
      </c>
      <c r="AD22" s="174">
        <f>AD8</f>
        <v>81</v>
      </c>
      <c r="AE22" s="175">
        <f t="shared" si="17"/>
        <v>2.4691358024691357E-2</v>
      </c>
      <c r="AF22" s="180">
        <v>1</v>
      </c>
      <c r="AG22" s="181">
        <v>1200</v>
      </c>
      <c r="AH22" s="260">
        <f t="shared" si="9"/>
        <v>29.629629629629626</v>
      </c>
      <c r="AI22" s="407"/>
      <c r="AJ22" s="208">
        <f t="shared" si="18"/>
        <v>12</v>
      </c>
      <c r="AK22" s="209">
        <f t="shared" si="19"/>
        <v>660</v>
      </c>
      <c r="AL22" s="220">
        <f t="shared" si="20"/>
        <v>2399.9999999999995</v>
      </c>
      <c r="AM22" s="179">
        <f t="shared" si="21"/>
        <v>2</v>
      </c>
      <c r="AN22" s="179"/>
      <c r="AO22" s="211"/>
      <c r="AP22" s="211"/>
      <c r="AQ22" s="211"/>
      <c r="AR22" s="211"/>
      <c r="AS22" s="211"/>
      <c r="AT22" s="211"/>
      <c r="AU22" s="211"/>
      <c r="AV22" s="211"/>
    </row>
    <row r="23" spans="1:48" s="182" customFormat="1" outlineLevel="2">
      <c r="A23" s="172">
        <v>5</v>
      </c>
      <c r="B23" s="148" t="str">
        <f t="shared" si="10"/>
        <v>Набор кукольной посуды</v>
      </c>
      <c r="C23" s="371" t="str">
        <f t="shared" si="11"/>
        <v>шт</v>
      </c>
      <c r="D23" s="372"/>
      <c r="E23" s="173">
        <f>12/81*F23</f>
        <v>1.7777777777777777</v>
      </c>
      <c r="F23" s="174">
        <f>F9</f>
        <v>12</v>
      </c>
      <c r="G23" s="175">
        <f t="shared" si="12"/>
        <v>0.14814814814814814</v>
      </c>
      <c r="H23" s="176">
        <v>1</v>
      </c>
      <c r="I23" s="177">
        <f t="shared" si="13"/>
        <v>100</v>
      </c>
      <c r="J23" s="260">
        <f t="shared" si="14"/>
        <v>14.814814814814813</v>
      </c>
      <c r="K23" s="407"/>
      <c r="L23" s="178"/>
      <c r="M23" s="172">
        <v>5</v>
      </c>
      <c r="N23" s="148" t="s">
        <v>111</v>
      </c>
      <c r="O23" s="371" t="s">
        <v>142</v>
      </c>
      <c r="P23" s="372"/>
      <c r="Q23" s="173">
        <f>12/81*R23</f>
        <v>10.222222222222221</v>
      </c>
      <c r="R23" s="174">
        <f>R9</f>
        <v>69</v>
      </c>
      <c r="S23" s="175">
        <f t="shared" si="15"/>
        <v>0.14814814814814814</v>
      </c>
      <c r="T23" s="176">
        <v>1</v>
      </c>
      <c r="U23" s="177">
        <v>100</v>
      </c>
      <c r="V23" s="260">
        <f t="shared" si="16"/>
        <v>14.814814814814813</v>
      </c>
      <c r="W23" s="407"/>
      <c r="X23" s="179"/>
      <c r="Y23" s="172">
        <v>5</v>
      </c>
      <c r="Z23" s="184" t="s">
        <v>165</v>
      </c>
      <c r="AA23" s="371" t="s">
        <v>142</v>
      </c>
      <c r="AB23" s="372"/>
      <c r="AC23" s="173">
        <v>3</v>
      </c>
      <c r="AD23" s="174">
        <f>AD8</f>
        <v>81</v>
      </c>
      <c r="AE23" s="175">
        <f t="shared" si="17"/>
        <v>3.7037037037037035E-2</v>
      </c>
      <c r="AF23" s="180">
        <v>1</v>
      </c>
      <c r="AG23" s="181">
        <v>300</v>
      </c>
      <c r="AH23" s="260">
        <f t="shared" si="9"/>
        <v>11.111111111111111</v>
      </c>
      <c r="AI23" s="407"/>
      <c r="AJ23" s="208">
        <f t="shared" si="18"/>
        <v>12</v>
      </c>
      <c r="AK23" s="209">
        <f t="shared" si="19"/>
        <v>1199.9999999999998</v>
      </c>
      <c r="AL23" s="220">
        <f t="shared" si="20"/>
        <v>900</v>
      </c>
      <c r="AM23" s="179">
        <f t="shared" si="21"/>
        <v>3</v>
      </c>
      <c r="AN23" s="179"/>
      <c r="AO23" s="211"/>
      <c r="AP23" s="211"/>
      <c r="AQ23" s="211"/>
      <c r="AR23" s="211"/>
      <c r="AS23" s="211"/>
      <c r="AT23" s="211"/>
      <c r="AU23" s="211"/>
      <c r="AV23" s="211"/>
    </row>
    <row r="24" spans="1:48" s="182" customFormat="1" outlineLevel="2">
      <c r="A24" s="172">
        <v>6</v>
      </c>
      <c r="B24" s="148" t="str">
        <f t="shared" si="10"/>
        <v>Настольно-печатные игры, пазлы</v>
      </c>
      <c r="C24" s="371" t="str">
        <f t="shared" si="11"/>
        <v>шт</v>
      </c>
      <c r="D24" s="372"/>
      <c r="E24" s="173">
        <f>6/81*F24</f>
        <v>0.88888888888888884</v>
      </c>
      <c r="F24" s="174">
        <f>F9</f>
        <v>12</v>
      </c>
      <c r="G24" s="175">
        <f t="shared" si="12"/>
        <v>7.407407407407407E-2</v>
      </c>
      <c r="H24" s="176">
        <v>1</v>
      </c>
      <c r="I24" s="177">
        <f t="shared" si="13"/>
        <v>140</v>
      </c>
      <c r="J24" s="260">
        <f t="shared" si="14"/>
        <v>10.37037037037037</v>
      </c>
      <c r="K24" s="407"/>
      <c r="L24" s="178"/>
      <c r="M24" s="172">
        <v>6</v>
      </c>
      <c r="N24" s="148" t="s">
        <v>115</v>
      </c>
      <c r="O24" s="371" t="s">
        <v>142</v>
      </c>
      <c r="P24" s="372"/>
      <c r="Q24" s="173">
        <f>6/81*R24</f>
        <v>5.1111111111111107</v>
      </c>
      <c r="R24" s="174">
        <f>R9</f>
        <v>69</v>
      </c>
      <c r="S24" s="175">
        <f t="shared" si="15"/>
        <v>7.407407407407407E-2</v>
      </c>
      <c r="T24" s="176">
        <v>1</v>
      </c>
      <c r="U24" s="177">
        <v>140</v>
      </c>
      <c r="V24" s="260">
        <f t="shared" si="16"/>
        <v>10.37037037037037</v>
      </c>
      <c r="W24" s="407"/>
      <c r="X24" s="179"/>
      <c r="Y24" s="172">
        <v>6</v>
      </c>
      <c r="Z24" s="148" t="s">
        <v>130</v>
      </c>
      <c r="AA24" s="371" t="s">
        <v>142</v>
      </c>
      <c r="AB24" s="372"/>
      <c r="AC24" s="173">
        <v>4</v>
      </c>
      <c r="AD24" s="174">
        <f>AD8</f>
        <v>81</v>
      </c>
      <c r="AE24" s="175">
        <f t="shared" si="17"/>
        <v>4.9382716049382713E-2</v>
      </c>
      <c r="AF24" s="180">
        <v>1</v>
      </c>
      <c r="AG24" s="181">
        <v>310</v>
      </c>
      <c r="AH24" s="260">
        <f t="shared" si="9"/>
        <v>15.308641975308641</v>
      </c>
      <c r="AI24" s="407"/>
      <c r="AJ24" s="208">
        <f t="shared" si="18"/>
        <v>6</v>
      </c>
      <c r="AK24" s="209">
        <f t="shared" si="19"/>
        <v>840</v>
      </c>
      <c r="AL24" s="220">
        <f t="shared" si="20"/>
        <v>1240</v>
      </c>
      <c r="AM24" s="179">
        <f t="shared" si="21"/>
        <v>4</v>
      </c>
      <c r="AN24" s="179"/>
      <c r="AO24" s="211"/>
      <c r="AP24" s="211"/>
      <c r="AQ24" s="211"/>
      <c r="AR24" s="211"/>
      <c r="AS24" s="211"/>
      <c r="AT24" s="211"/>
      <c r="AU24" s="211"/>
      <c r="AV24" s="211"/>
    </row>
    <row r="25" spans="1:48" s="182" customFormat="1" ht="17.25" customHeight="1" outlineLevel="2">
      <c r="A25" s="172">
        <v>7</v>
      </c>
      <c r="B25" s="148" t="str">
        <f t="shared" si="10"/>
        <v>Интерактивные развивающие игры</v>
      </c>
      <c r="C25" s="371" t="str">
        <f t="shared" si="11"/>
        <v>шт</v>
      </c>
      <c r="D25" s="372"/>
      <c r="E25" s="173">
        <f>6/81*F25</f>
        <v>0.88888888888888884</v>
      </c>
      <c r="F25" s="174">
        <f>F9</f>
        <v>12</v>
      </c>
      <c r="G25" s="175">
        <f t="shared" si="12"/>
        <v>7.407407407407407E-2</v>
      </c>
      <c r="H25" s="176">
        <v>1</v>
      </c>
      <c r="I25" s="177">
        <f t="shared" si="13"/>
        <v>490</v>
      </c>
      <c r="J25" s="260">
        <f t="shared" si="14"/>
        <v>36.296296296296298</v>
      </c>
      <c r="K25" s="407"/>
      <c r="L25" s="178"/>
      <c r="M25" s="172">
        <v>7</v>
      </c>
      <c r="N25" s="148" t="s">
        <v>112</v>
      </c>
      <c r="O25" s="371" t="s">
        <v>142</v>
      </c>
      <c r="P25" s="372"/>
      <c r="Q25" s="173">
        <f>6/81*R25</f>
        <v>5.1111111111111107</v>
      </c>
      <c r="R25" s="174">
        <f>R9</f>
        <v>69</v>
      </c>
      <c r="S25" s="175">
        <f t="shared" si="15"/>
        <v>7.407407407407407E-2</v>
      </c>
      <c r="T25" s="176">
        <v>1</v>
      </c>
      <c r="U25" s="177">
        <v>490</v>
      </c>
      <c r="V25" s="260">
        <f t="shared" si="16"/>
        <v>36.296296296296298</v>
      </c>
      <c r="W25" s="407"/>
      <c r="X25" s="179"/>
      <c r="Y25" s="172">
        <v>7</v>
      </c>
      <c r="Z25" s="148" t="s">
        <v>163</v>
      </c>
      <c r="AA25" s="371" t="s">
        <v>142</v>
      </c>
      <c r="AB25" s="372"/>
      <c r="AC25" s="173">
        <v>2</v>
      </c>
      <c r="AD25" s="174">
        <f>AD8</f>
        <v>81</v>
      </c>
      <c r="AE25" s="175">
        <f t="shared" si="17"/>
        <v>2.4691358024691357E-2</v>
      </c>
      <c r="AF25" s="180">
        <v>1</v>
      </c>
      <c r="AG25" s="181">
        <v>1590</v>
      </c>
      <c r="AH25" s="260">
        <f t="shared" si="9"/>
        <v>39.25925925925926</v>
      </c>
      <c r="AI25" s="407"/>
      <c r="AJ25" s="208">
        <f t="shared" si="18"/>
        <v>6</v>
      </c>
      <c r="AK25" s="209">
        <f t="shared" si="19"/>
        <v>2940</v>
      </c>
      <c r="AL25" s="220">
        <f t="shared" si="20"/>
        <v>3180</v>
      </c>
      <c r="AM25" s="179">
        <f t="shared" si="21"/>
        <v>2</v>
      </c>
      <c r="AN25" s="179"/>
      <c r="AO25" s="211"/>
      <c r="AP25" s="211"/>
      <c r="AQ25" s="211"/>
      <c r="AR25" s="211"/>
      <c r="AS25" s="211"/>
      <c r="AT25" s="211"/>
      <c r="AU25" s="211"/>
      <c r="AV25" s="211"/>
    </row>
    <row r="26" spans="1:48" s="182" customFormat="1" outlineLevel="2">
      <c r="A26" s="172">
        <v>8</v>
      </c>
      <c r="B26" s="148" t="str">
        <f t="shared" si="10"/>
        <v>Учебные пособия</v>
      </c>
      <c r="C26" s="371" t="str">
        <f t="shared" si="11"/>
        <v>шт</v>
      </c>
      <c r="D26" s="372"/>
      <c r="E26" s="173">
        <f>32/81*F26</f>
        <v>4.7407407407407405</v>
      </c>
      <c r="F26" s="174">
        <f>F9</f>
        <v>12</v>
      </c>
      <c r="G26" s="175">
        <f t="shared" si="12"/>
        <v>0.39506172839506171</v>
      </c>
      <c r="H26" s="176">
        <v>1</v>
      </c>
      <c r="I26" s="177">
        <f t="shared" si="13"/>
        <v>294.5</v>
      </c>
      <c r="J26" s="260">
        <f t="shared" si="14"/>
        <v>116.34567901234567</v>
      </c>
      <c r="K26" s="407"/>
      <c r="L26" s="178"/>
      <c r="M26" s="172">
        <v>8</v>
      </c>
      <c r="N26" s="148" t="s">
        <v>162</v>
      </c>
      <c r="O26" s="371" t="s">
        <v>142</v>
      </c>
      <c r="P26" s="372"/>
      <c r="Q26" s="173">
        <f>32/81*R26</f>
        <v>27.25925925925926</v>
      </c>
      <c r="R26" s="174">
        <f>R9</f>
        <v>69</v>
      </c>
      <c r="S26" s="175">
        <f t="shared" si="15"/>
        <v>0.39506172839506171</v>
      </c>
      <c r="T26" s="176">
        <v>1</v>
      </c>
      <c r="U26" s="177">
        <v>294.5</v>
      </c>
      <c r="V26" s="260">
        <f t="shared" si="16"/>
        <v>116.34567901234567</v>
      </c>
      <c r="W26" s="407"/>
      <c r="X26" s="179"/>
      <c r="Y26" s="172">
        <v>8</v>
      </c>
      <c r="Z26" s="148" t="s">
        <v>131</v>
      </c>
      <c r="AA26" s="371" t="s">
        <v>142</v>
      </c>
      <c r="AB26" s="372"/>
      <c r="AC26" s="173">
        <v>3</v>
      </c>
      <c r="AD26" s="174">
        <f>AD8</f>
        <v>81</v>
      </c>
      <c r="AE26" s="175">
        <f t="shared" si="17"/>
        <v>3.7037037037037035E-2</v>
      </c>
      <c r="AF26" s="180">
        <v>1</v>
      </c>
      <c r="AG26" s="181">
        <v>600</v>
      </c>
      <c r="AH26" s="260">
        <f t="shared" si="9"/>
        <v>22.222222222222221</v>
      </c>
      <c r="AI26" s="407"/>
      <c r="AJ26" s="208">
        <f t="shared" si="18"/>
        <v>32</v>
      </c>
      <c r="AK26" s="209">
        <f t="shared" si="19"/>
        <v>9424</v>
      </c>
      <c r="AL26" s="220">
        <f t="shared" si="20"/>
        <v>1800</v>
      </c>
      <c r="AM26" s="179">
        <f t="shared" si="21"/>
        <v>3</v>
      </c>
      <c r="AN26" s="179"/>
      <c r="AO26" s="211"/>
      <c r="AP26" s="211"/>
      <c r="AQ26" s="211"/>
      <c r="AR26" s="211"/>
      <c r="AS26" s="211"/>
      <c r="AT26" s="211"/>
      <c r="AU26" s="211"/>
      <c r="AV26" s="211"/>
    </row>
    <row r="27" spans="1:48" s="182" customFormat="1" outlineLevel="2">
      <c r="A27" s="172">
        <v>9</v>
      </c>
      <c r="B27" s="148" t="str">
        <f t="shared" si="10"/>
        <v xml:space="preserve">Конструкторы </v>
      </c>
      <c r="C27" s="371" t="str">
        <f t="shared" si="11"/>
        <v>шт</v>
      </c>
      <c r="D27" s="372"/>
      <c r="E27" s="173">
        <f>8/81*F27</f>
        <v>1.1851851851851851</v>
      </c>
      <c r="F27" s="174">
        <f>F9</f>
        <v>12</v>
      </c>
      <c r="G27" s="175">
        <f t="shared" si="12"/>
        <v>9.8765432098765427E-2</v>
      </c>
      <c r="H27" s="176">
        <v>1</v>
      </c>
      <c r="I27" s="177">
        <f t="shared" si="13"/>
        <v>1000</v>
      </c>
      <c r="J27" s="260">
        <f t="shared" si="14"/>
        <v>98.76543209876543</v>
      </c>
      <c r="K27" s="407"/>
      <c r="L27" s="178"/>
      <c r="M27" s="172">
        <v>9</v>
      </c>
      <c r="N27" s="148" t="s">
        <v>113</v>
      </c>
      <c r="O27" s="371" t="s">
        <v>142</v>
      </c>
      <c r="P27" s="372"/>
      <c r="Q27" s="173">
        <f>8/81*R27</f>
        <v>6.8148148148148149</v>
      </c>
      <c r="R27" s="174">
        <f>R9</f>
        <v>69</v>
      </c>
      <c r="S27" s="175">
        <f t="shared" si="15"/>
        <v>9.8765432098765427E-2</v>
      </c>
      <c r="T27" s="176">
        <v>1</v>
      </c>
      <c r="U27" s="177">
        <v>1000</v>
      </c>
      <c r="V27" s="260">
        <f t="shared" si="16"/>
        <v>98.76543209876543</v>
      </c>
      <c r="W27" s="407"/>
      <c r="X27" s="179"/>
      <c r="Y27" s="172">
        <v>9</v>
      </c>
      <c r="Z27" s="184" t="s">
        <v>166</v>
      </c>
      <c r="AA27" s="371" t="s">
        <v>142</v>
      </c>
      <c r="AB27" s="372"/>
      <c r="AC27" s="173">
        <v>6</v>
      </c>
      <c r="AD27" s="174">
        <f>AD8</f>
        <v>81</v>
      </c>
      <c r="AE27" s="175">
        <f t="shared" si="17"/>
        <v>7.407407407407407E-2</v>
      </c>
      <c r="AF27" s="180">
        <v>1</v>
      </c>
      <c r="AG27" s="181">
        <v>250</v>
      </c>
      <c r="AH27" s="260">
        <f t="shared" si="9"/>
        <v>18.518518518518519</v>
      </c>
      <c r="AI27" s="407"/>
      <c r="AJ27" s="208">
        <f t="shared" si="18"/>
        <v>8</v>
      </c>
      <c r="AK27" s="209">
        <f t="shared" si="19"/>
        <v>8000</v>
      </c>
      <c r="AL27" s="220">
        <f t="shared" si="20"/>
        <v>1500</v>
      </c>
      <c r="AM27" s="179">
        <f t="shared" si="21"/>
        <v>6</v>
      </c>
      <c r="AN27" s="179"/>
      <c r="AO27" s="211"/>
      <c r="AP27" s="211"/>
      <c r="AQ27" s="211"/>
      <c r="AR27" s="211"/>
      <c r="AS27" s="211"/>
      <c r="AT27" s="211"/>
      <c r="AU27" s="211"/>
      <c r="AV27" s="211"/>
    </row>
    <row r="28" spans="1:48" s="182" customFormat="1" outlineLevel="2">
      <c r="A28" s="172">
        <v>10</v>
      </c>
      <c r="B28" s="148" t="str">
        <f t="shared" si="10"/>
        <v>Мозаика кнопочная</v>
      </c>
      <c r="C28" s="371" t="str">
        <f t="shared" si="11"/>
        <v>шт</v>
      </c>
      <c r="D28" s="372"/>
      <c r="E28" s="173">
        <f>8/81*F28</f>
        <v>1.1851851851851851</v>
      </c>
      <c r="F28" s="174">
        <f>F9</f>
        <v>12</v>
      </c>
      <c r="G28" s="175">
        <f t="shared" si="12"/>
        <v>9.8765432098765427E-2</v>
      </c>
      <c r="H28" s="176">
        <v>1</v>
      </c>
      <c r="I28" s="177">
        <f t="shared" si="13"/>
        <v>500</v>
      </c>
      <c r="J28" s="260">
        <f t="shared" si="14"/>
        <v>49.382716049382715</v>
      </c>
      <c r="K28" s="407"/>
      <c r="L28" s="178"/>
      <c r="M28" s="172">
        <v>10</v>
      </c>
      <c r="N28" s="148" t="s">
        <v>116</v>
      </c>
      <c r="O28" s="371" t="s">
        <v>142</v>
      </c>
      <c r="P28" s="372"/>
      <c r="Q28" s="173">
        <f>8/81*R28</f>
        <v>6.8148148148148149</v>
      </c>
      <c r="R28" s="174">
        <f>R9</f>
        <v>69</v>
      </c>
      <c r="S28" s="175">
        <f t="shared" si="15"/>
        <v>9.8765432098765427E-2</v>
      </c>
      <c r="T28" s="176">
        <v>1</v>
      </c>
      <c r="U28" s="177">
        <v>500</v>
      </c>
      <c r="V28" s="260">
        <f t="shared" si="16"/>
        <v>49.382716049382715</v>
      </c>
      <c r="W28" s="407"/>
      <c r="X28" s="179"/>
      <c r="Y28" s="172">
        <v>10</v>
      </c>
      <c r="Z28" s="148" t="s">
        <v>146</v>
      </c>
      <c r="AA28" s="371" t="s">
        <v>142</v>
      </c>
      <c r="AB28" s="372"/>
      <c r="AC28" s="173">
        <v>6</v>
      </c>
      <c r="AD28" s="174">
        <f>AD8</f>
        <v>81</v>
      </c>
      <c r="AE28" s="175">
        <f t="shared" si="17"/>
        <v>7.407407407407407E-2</v>
      </c>
      <c r="AF28" s="176">
        <v>1</v>
      </c>
      <c r="AG28" s="177">
        <v>50</v>
      </c>
      <c r="AH28" s="260">
        <f t="shared" si="9"/>
        <v>3.7037037037037033</v>
      </c>
      <c r="AI28" s="407"/>
      <c r="AJ28" s="208">
        <f t="shared" si="18"/>
        <v>8</v>
      </c>
      <c r="AK28" s="209">
        <f t="shared" si="19"/>
        <v>4000</v>
      </c>
      <c r="AL28" s="220">
        <f t="shared" si="20"/>
        <v>299.99999999999994</v>
      </c>
      <c r="AM28" s="179">
        <f t="shared" si="21"/>
        <v>6</v>
      </c>
      <c r="AN28" s="179"/>
      <c r="AO28" s="211"/>
      <c r="AP28" s="211"/>
      <c r="AQ28" s="211"/>
      <c r="AR28" s="211"/>
      <c r="AS28" s="211"/>
      <c r="AT28" s="211"/>
      <c r="AU28" s="211"/>
      <c r="AV28" s="211"/>
    </row>
    <row r="29" spans="1:48" s="182" customFormat="1" outlineLevel="2">
      <c r="A29" s="172">
        <v>11</v>
      </c>
      <c r="B29" s="148" t="str">
        <f t="shared" si="10"/>
        <v>Альбом для рисования</v>
      </c>
      <c r="C29" s="371" t="str">
        <f t="shared" si="11"/>
        <v>шт</v>
      </c>
      <c r="D29" s="372"/>
      <c r="E29" s="173">
        <f>81/81*F29</f>
        <v>12</v>
      </c>
      <c r="F29" s="174">
        <f>F9</f>
        <v>12</v>
      </c>
      <c r="G29" s="175">
        <f t="shared" si="12"/>
        <v>1</v>
      </c>
      <c r="H29" s="176">
        <v>1</v>
      </c>
      <c r="I29" s="177">
        <f t="shared" si="13"/>
        <v>50</v>
      </c>
      <c r="J29" s="260">
        <f t="shared" si="14"/>
        <v>50</v>
      </c>
      <c r="K29" s="407"/>
      <c r="L29" s="178"/>
      <c r="M29" s="172">
        <v>11</v>
      </c>
      <c r="N29" s="148" t="s">
        <v>117</v>
      </c>
      <c r="O29" s="371" t="s">
        <v>142</v>
      </c>
      <c r="P29" s="372"/>
      <c r="Q29" s="173">
        <f>81/81*R29</f>
        <v>69</v>
      </c>
      <c r="R29" s="174">
        <f>R9</f>
        <v>69</v>
      </c>
      <c r="S29" s="175">
        <f t="shared" si="15"/>
        <v>1</v>
      </c>
      <c r="T29" s="176">
        <v>1</v>
      </c>
      <c r="U29" s="177">
        <v>50</v>
      </c>
      <c r="V29" s="260">
        <f t="shared" si="16"/>
        <v>50</v>
      </c>
      <c r="W29" s="407"/>
      <c r="X29" s="179"/>
      <c r="Y29" s="172">
        <v>11</v>
      </c>
      <c r="Z29" s="148" t="s">
        <v>147</v>
      </c>
      <c r="AA29" s="371" t="s">
        <v>142</v>
      </c>
      <c r="AB29" s="372"/>
      <c r="AC29" s="173">
        <v>30</v>
      </c>
      <c r="AD29" s="174">
        <f>AD8</f>
        <v>81</v>
      </c>
      <c r="AE29" s="175">
        <f t="shared" si="17"/>
        <v>0.37037037037037035</v>
      </c>
      <c r="AF29" s="176">
        <v>1</v>
      </c>
      <c r="AG29" s="177">
        <v>20</v>
      </c>
      <c r="AH29" s="260">
        <f t="shared" si="9"/>
        <v>7.4074074074074066</v>
      </c>
      <c r="AI29" s="407"/>
      <c r="AJ29" s="208">
        <f t="shared" si="18"/>
        <v>81</v>
      </c>
      <c r="AK29" s="209">
        <f t="shared" si="19"/>
        <v>4050</v>
      </c>
      <c r="AL29" s="220">
        <f t="shared" si="20"/>
        <v>599.99999999999989</v>
      </c>
      <c r="AM29" s="179">
        <f t="shared" si="21"/>
        <v>30</v>
      </c>
      <c r="AN29" s="179"/>
      <c r="AO29" s="211"/>
      <c r="AP29" s="211"/>
      <c r="AQ29" s="211"/>
      <c r="AR29" s="211"/>
      <c r="AS29" s="211"/>
      <c r="AT29" s="211"/>
      <c r="AU29" s="211"/>
      <c r="AV29" s="211"/>
    </row>
    <row r="30" spans="1:48" s="182" customFormat="1" ht="17.25" customHeight="1" outlineLevel="2">
      <c r="A30" s="172">
        <v>12</v>
      </c>
      <c r="B30" s="148" t="str">
        <f t="shared" si="10"/>
        <v>Краски акварельные</v>
      </c>
      <c r="C30" s="371" t="str">
        <f t="shared" si="11"/>
        <v>шт</v>
      </c>
      <c r="D30" s="372"/>
      <c r="E30" s="173">
        <f>81/81*F30</f>
        <v>12</v>
      </c>
      <c r="F30" s="174">
        <f>F9</f>
        <v>12</v>
      </c>
      <c r="G30" s="175">
        <f t="shared" si="12"/>
        <v>1</v>
      </c>
      <c r="H30" s="176">
        <v>1</v>
      </c>
      <c r="I30" s="177">
        <f t="shared" si="13"/>
        <v>80</v>
      </c>
      <c r="J30" s="260">
        <f t="shared" si="14"/>
        <v>80</v>
      </c>
      <c r="K30" s="407"/>
      <c r="L30" s="178"/>
      <c r="M30" s="172">
        <v>12</v>
      </c>
      <c r="N30" s="148" t="s">
        <v>118</v>
      </c>
      <c r="O30" s="371" t="s">
        <v>142</v>
      </c>
      <c r="P30" s="372"/>
      <c r="Q30" s="173">
        <f>81/81*R30</f>
        <v>69</v>
      </c>
      <c r="R30" s="174">
        <f>R9</f>
        <v>69</v>
      </c>
      <c r="S30" s="175">
        <f t="shared" si="15"/>
        <v>1</v>
      </c>
      <c r="T30" s="176">
        <v>1</v>
      </c>
      <c r="U30" s="177">
        <v>80</v>
      </c>
      <c r="V30" s="260">
        <f t="shared" si="16"/>
        <v>80</v>
      </c>
      <c r="W30" s="407"/>
      <c r="X30" s="179"/>
      <c r="Y30" s="172">
        <v>12</v>
      </c>
      <c r="Z30" s="148" t="s">
        <v>148</v>
      </c>
      <c r="AA30" s="371" t="s">
        <v>142</v>
      </c>
      <c r="AB30" s="372"/>
      <c r="AC30" s="173">
        <v>100</v>
      </c>
      <c r="AD30" s="174">
        <f t="shared" ref="AD30:AD41" si="22">AD29</f>
        <v>81</v>
      </c>
      <c r="AE30" s="175">
        <f t="shared" si="17"/>
        <v>1.2345679012345678</v>
      </c>
      <c r="AF30" s="180">
        <v>1</v>
      </c>
      <c r="AG30" s="181">
        <v>100</v>
      </c>
      <c r="AH30" s="260">
        <f t="shared" si="9"/>
        <v>123.45679012345678</v>
      </c>
      <c r="AI30" s="407"/>
      <c r="AJ30" s="208">
        <f t="shared" si="18"/>
        <v>81</v>
      </c>
      <c r="AK30" s="209">
        <f t="shared" si="19"/>
        <v>6480</v>
      </c>
      <c r="AL30" s="220">
        <f t="shared" si="20"/>
        <v>10000</v>
      </c>
      <c r="AM30" s="179">
        <f t="shared" si="21"/>
        <v>100</v>
      </c>
      <c r="AN30" s="179"/>
      <c r="AO30" s="211"/>
      <c r="AP30" s="211"/>
      <c r="AQ30" s="211"/>
      <c r="AR30" s="211"/>
      <c r="AS30" s="211"/>
      <c r="AT30" s="211"/>
      <c r="AU30" s="211"/>
      <c r="AV30" s="211"/>
    </row>
    <row r="31" spans="1:48" s="182" customFormat="1" outlineLevel="2">
      <c r="A31" s="172">
        <v>13</v>
      </c>
      <c r="B31" s="148" t="str">
        <f t="shared" si="10"/>
        <v>Карандаши цветные</v>
      </c>
      <c r="C31" s="371" t="str">
        <f t="shared" si="11"/>
        <v>шт</v>
      </c>
      <c r="D31" s="372"/>
      <c r="E31" s="173">
        <f>81/81*F31</f>
        <v>12</v>
      </c>
      <c r="F31" s="174">
        <f>F10</f>
        <v>12</v>
      </c>
      <c r="G31" s="175">
        <f t="shared" si="12"/>
        <v>1</v>
      </c>
      <c r="H31" s="176">
        <v>1</v>
      </c>
      <c r="I31" s="177">
        <f t="shared" si="13"/>
        <v>65</v>
      </c>
      <c r="J31" s="260">
        <f t="shared" si="14"/>
        <v>65</v>
      </c>
      <c r="K31" s="407"/>
      <c r="L31" s="178"/>
      <c r="M31" s="172">
        <v>13</v>
      </c>
      <c r="N31" s="148" t="s">
        <v>119</v>
      </c>
      <c r="O31" s="371" t="s">
        <v>142</v>
      </c>
      <c r="P31" s="372"/>
      <c r="Q31" s="173">
        <f>81/81*R31</f>
        <v>69</v>
      </c>
      <c r="R31" s="174">
        <f>R10</f>
        <v>69</v>
      </c>
      <c r="S31" s="175">
        <f>Q31/R31</f>
        <v>1</v>
      </c>
      <c r="T31" s="176">
        <v>1</v>
      </c>
      <c r="U31" s="177">
        <v>65</v>
      </c>
      <c r="V31" s="260">
        <f>IFERROR(S31*U31/T31,0)</f>
        <v>65</v>
      </c>
      <c r="W31" s="407"/>
      <c r="X31" s="179"/>
      <c r="Y31" s="172">
        <v>13</v>
      </c>
      <c r="Z31" s="148" t="s">
        <v>149</v>
      </c>
      <c r="AA31" s="371" t="s">
        <v>142</v>
      </c>
      <c r="AB31" s="372"/>
      <c r="AC31" s="173">
        <v>120</v>
      </c>
      <c r="AD31" s="174">
        <f t="shared" si="22"/>
        <v>81</v>
      </c>
      <c r="AE31" s="175">
        <f t="shared" si="17"/>
        <v>1.4814814814814814</v>
      </c>
      <c r="AF31" s="180">
        <v>1</v>
      </c>
      <c r="AG31" s="181">
        <v>20</v>
      </c>
      <c r="AH31" s="260">
        <f t="shared" si="9"/>
        <v>29.629629629629626</v>
      </c>
      <c r="AI31" s="407"/>
      <c r="AJ31" s="208">
        <f t="shared" si="18"/>
        <v>81</v>
      </c>
      <c r="AK31" s="209">
        <f t="shared" si="19"/>
        <v>5265</v>
      </c>
      <c r="AL31" s="220">
        <f t="shared" si="20"/>
        <v>2399.9999999999995</v>
      </c>
      <c r="AM31" s="179">
        <f t="shared" si="21"/>
        <v>120</v>
      </c>
      <c r="AN31" s="179"/>
      <c r="AO31" s="211"/>
      <c r="AP31" s="211"/>
      <c r="AQ31" s="211"/>
      <c r="AR31" s="211"/>
      <c r="AS31" s="211"/>
      <c r="AT31" s="211"/>
      <c r="AU31" s="211"/>
      <c r="AV31" s="211"/>
    </row>
    <row r="32" spans="1:48" s="182" customFormat="1" ht="17.25" customHeight="1" outlineLevel="2">
      <c r="A32" s="172">
        <v>14</v>
      </c>
      <c r="B32" s="148" t="str">
        <f t="shared" si="10"/>
        <v>Наглядный и раздаточный материал</v>
      </c>
      <c r="C32" s="371" t="str">
        <f t="shared" si="11"/>
        <v>шт</v>
      </c>
      <c r="D32" s="372"/>
      <c r="E32" s="173">
        <f>81/81*F32</f>
        <v>12</v>
      </c>
      <c r="F32" s="174">
        <f>F20</f>
        <v>12</v>
      </c>
      <c r="G32" s="175">
        <f>E32/F32</f>
        <v>1</v>
      </c>
      <c r="H32" s="176">
        <v>1</v>
      </c>
      <c r="I32" s="177">
        <f t="shared" si="13"/>
        <v>200</v>
      </c>
      <c r="J32" s="260">
        <f t="shared" si="14"/>
        <v>200</v>
      </c>
      <c r="K32" s="407"/>
      <c r="L32" s="178"/>
      <c r="M32" s="172">
        <v>14</v>
      </c>
      <c r="N32" s="148" t="s">
        <v>171</v>
      </c>
      <c r="O32" s="371" t="s">
        <v>142</v>
      </c>
      <c r="P32" s="372"/>
      <c r="Q32" s="173">
        <f>81/81*R32</f>
        <v>69</v>
      </c>
      <c r="R32" s="174">
        <f>R20</f>
        <v>69</v>
      </c>
      <c r="S32" s="175">
        <f>Q32/R32</f>
        <v>1</v>
      </c>
      <c r="T32" s="176">
        <v>1</v>
      </c>
      <c r="U32" s="177">
        <v>200</v>
      </c>
      <c r="V32" s="260">
        <f>IFERROR(S32*U32/T32,0)</f>
        <v>200</v>
      </c>
      <c r="W32" s="407"/>
      <c r="X32" s="179"/>
      <c r="Y32" s="172">
        <v>14</v>
      </c>
      <c r="Z32" s="148" t="s">
        <v>150</v>
      </c>
      <c r="AA32" s="371" t="s">
        <v>142</v>
      </c>
      <c r="AB32" s="372"/>
      <c r="AC32" s="173">
        <v>111</v>
      </c>
      <c r="AD32" s="174">
        <f t="shared" si="22"/>
        <v>81</v>
      </c>
      <c r="AE32" s="175">
        <f t="shared" si="17"/>
        <v>1.3703703703703705</v>
      </c>
      <c r="AF32" s="180">
        <v>1</v>
      </c>
      <c r="AG32" s="181">
        <v>40</v>
      </c>
      <c r="AH32" s="260">
        <f t="shared" si="9"/>
        <v>54.814814814814817</v>
      </c>
      <c r="AI32" s="407"/>
      <c r="AJ32" s="208">
        <f t="shared" si="18"/>
        <v>81</v>
      </c>
      <c r="AK32" s="209">
        <f t="shared" si="19"/>
        <v>16200</v>
      </c>
      <c r="AL32" s="220">
        <f t="shared" si="20"/>
        <v>4440</v>
      </c>
      <c r="AM32" s="179">
        <f t="shared" si="21"/>
        <v>111</v>
      </c>
      <c r="AN32" s="179"/>
      <c r="AO32" s="211"/>
      <c r="AP32" s="211"/>
      <c r="AQ32" s="211"/>
      <c r="AR32" s="211"/>
      <c r="AS32" s="211"/>
      <c r="AT32" s="211"/>
      <c r="AU32" s="211"/>
      <c r="AV32" s="211"/>
    </row>
    <row r="33" spans="1:48" outlineLevel="2">
      <c r="A33" s="65">
        <v>15</v>
      </c>
      <c r="B33" s="148" t="str">
        <f t="shared" si="10"/>
        <v>Бумага цветная</v>
      </c>
      <c r="C33" s="371" t="str">
        <f t="shared" ref="C33:C41" si="23">O33</f>
        <v>упак</v>
      </c>
      <c r="D33" s="372"/>
      <c r="E33" s="173">
        <v>0</v>
      </c>
      <c r="F33" s="174">
        <f>F21</f>
        <v>12</v>
      </c>
      <c r="G33" s="175">
        <f>E33/F33</f>
        <v>0</v>
      </c>
      <c r="H33" s="176">
        <v>1</v>
      </c>
      <c r="I33" s="177">
        <f t="shared" ref="I33" si="24">U33</f>
        <v>100</v>
      </c>
      <c r="J33" s="260">
        <f t="shared" ref="J33" si="25">IFERROR(G33*I33/H33,0)</f>
        <v>0</v>
      </c>
      <c r="K33" s="407"/>
      <c r="L33" s="61"/>
      <c r="M33" s="65">
        <v>15</v>
      </c>
      <c r="N33" s="108" t="s">
        <v>224</v>
      </c>
      <c r="O33" s="368" t="s">
        <v>225</v>
      </c>
      <c r="P33" s="369"/>
      <c r="Q33" s="173">
        <v>20</v>
      </c>
      <c r="R33" s="174">
        <f>R21</f>
        <v>69</v>
      </c>
      <c r="S33" s="175">
        <f>Q33/R33</f>
        <v>0.28985507246376813</v>
      </c>
      <c r="T33" s="176">
        <v>1</v>
      </c>
      <c r="U33" s="177">
        <v>100</v>
      </c>
      <c r="V33" s="260">
        <f>IFERROR(S33*U33/T33,0)</f>
        <v>28.985507246376812</v>
      </c>
      <c r="W33" s="407"/>
      <c r="X33" s="39"/>
      <c r="Y33" s="65">
        <v>15</v>
      </c>
      <c r="Z33" s="84" t="s">
        <v>156</v>
      </c>
      <c r="AA33" s="370" t="s">
        <v>142</v>
      </c>
      <c r="AB33" s="369"/>
      <c r="AC33" s="35">
        <v>1</v>
      </c>
      <c r="AD33" s="30">
        <f t="shared" si="22"/>
        <v>81</v>
      </c>
      <c r="AE33" s="45">
        <f t="shared" si="17"/>
        <v>1.2345679012345678E-2</v>
      </c>
      <c r="AF33" s="3">
        <v>1</v>
      </c>
      <c r="AG33" s="5">
        <v>4000</v>
      </c>
      <c r="AH33" s="258">
        <f t="shared" si="9"/>
        <v>49.382716049382715</v>
      </c>
      <c r="AI33" s="407"/>
      <c r="AJ33" s="208">
        <f t="shared" si="18"/>
        <v>20</v>
      </c>
      <c r="AK33" s="209">
        <f t="shared" si="19"/>
        <v>2000</v>
      </c>
      <c r="AL33" s="220">
        <f t="shared" si="20"/>
        <v>4000</v>
      </c>
      <c r="AM33" s="179">
        <f t="shared" si="21"/>
        <v>1</v>
      </c>
      <c r="AN33" s="39"/>
      <c r="AO33" s="26"/>
      <c r="AP33" s="26"/>
      <c r="AQ33" s="26"/>
      <c r="AR33" s="26"/>
      <c r="AS33" s="26"/>
      <c r="AT33" s="26"/>
      <c r="AU33" s="26"/>
      <c r="AV33" s="26"/>
    </row>
    <row r="34" spans="1:48" outlineLevel="2">
      <c r="A34" s="65">
        <v>16</v>
      </c>
      <c r="B34" s="148" t="str">
        <f t="shared" si="10"/>
        <v>Набор ручек (3 цвета)</v>
      </c>
      <c r="C34" s="371" t="str">
        <f t="shared" si="23"/>
        <v>шт</v>
      </c>
      <c r="D34" s="372"/>
      <c r="E34" s="173">
        <v>0</v>
      </c>
      <c r="F34" s="174">
        <f>F22</f>
        <v>12</v>
      </c>
      <c r="G34" s="175">
        <f>E34/F34</f>
        <v>0</v>
      </c>
      <c r="H34" s="176">
        <v>1</v>
      </c>
      <c r="I34" s="177">
        <f t="shared" ref="I34" si="26">U34</f>
        <v>47</v>
      </c>
      <c r="J34" s="260">
        <f t="shared" ref="J34" si="27">IFERROR(G34*I34/H34,0)</f>
        <v>0</v>
      </c>
      <c r="K34" s="407"/>
      <c r="L34" s="61"/>
      <c r="M34" s="65">
        <v>16</v>
      </c>
      <c r="N34" s="108" t="s">
        <v>226</v>
      </c>
      <c r="O34" s="368" t="s">
        <v>142</v>
      </c>
      <c r="P34" s="369"/>
      <c r="Q34" s="35">
        <v>3</v>
      </c>
      <c r="R34" s="30">
        <f>R33</f>
        <v>69</v>
      </c>
      <c r="S34" s="175">
        <f>Q34/R34</f>
        <v>4.3478260869565216E-2</v>
      </c>
      <c r="T34" s="176">
        <v>1</v>
      </c>
      <c r="U34" s="177">
        <v>47</v>
      </c>
      <c r="V34" s="260">
        <f>IFERROR(S34*U34/T34,0)</f>
        <v>2.043478260869565</v>
      </c>
      <c r="W34" s="407"/>
      <c r="X34" s="39"/>
      <c r="Y34" s="65">
        <v>16</v>
      </c>
      <c r="Z34" s="112" t="s">
        <v>168</v>
      </c>
      <c r="AA34" s="370" t="s">
        <v>142</v>
      </c>
      <c r="AB34" s="369"/>
      <c r="AC34" s="50">
        <v>60</v>
      </c>
      <c r="AD34" s="30">
        <f>AD33</f>
        <v>81</v>
      </c>
      <c r="AE34" s="45">
        <f>AC34/AD34</f>
        <v>0.7407407407407407</v>
      </c>
      <c r="AF34" s="3">
        <v>1</v>
      </c>
      <c r="AG34" s="51">
        <v>325</v>
      </c>
      <c r="AH34" s="258">
        <f>IFERROR(#REF!*#REF!/#REF!,0)</f>
        <v>0</v>
      </c>
      <c r="AI34" s="407"/>
      <c r="AJ34" s="208">
        <f t="shared" si="18"/>
        <v>3</v>
      </c>
      <c r="AK34" s="209">
        <f t="shared" si="19"/>
        <v>140.99999999999997</v>
      </c>
      <c r="AL34" s="220">
        <f t="shared" si="20"/>
        <v>0</v>
      </c>
      <c r="AM34" s="179">
        <f t="shared" si="21"/>
        <v>60</v>
      </c>
      <c r="AN34" s="39"/>
      <c r="AO34" s="26"/>
      <c r="AP34" s="26"/>
      <c r="AQ34" s="26"/>
      <c r="AR34" s="26"/>
      <c r="AS34" s="26"/>
      <c r="AT34" s="26"/>
      <c r="AU34" s="26"/>
      <c r="AV34" s="26"/>
    </row>
    <row r="35" spans="1:48" outlineLevel="2">
      <c r="A35" s="65">
        <v>17</v>
      </c>
      <c r="B35" s="148">
        <f t="shared" si="10"/>
        <v>0</v>
      </c>
      <c r="C35" s="371">
        <f t="shared" si="23"/>
        <v>0</v>
      </c>
      <c r="D35" s="372"/>
      <c r="E35" s="35"/>
      <c r="F35" s="30"/>
      <c r="G35" s="45"/>
      <c r="H35" s="32"/>
      <c r="I35" s="36"/>
      <c r="J35" s="258"/>
      <c r="K35" s="407"/>
      <c r="L35" s="61"/>
      <c r="M35" s="65">
        <v>17</v>
      </c>
      <c r="N35" s="84"/>
      <c r="O35" s="370"/>
      <c r="P35" s="369"/>
      <c r="Q35" s="35"/>
      <c r="R35" s="30"/>
      <c r="S35" s="45"/>
      <c r="T35" s="32"/>
      <c r="U35" s="36"/>
      <c r="V35" s="258"/>
      <c r="W35" s="407"/>
      <c r="X35" s="39"/>
      <c r="Y35" s="65">
        <v>17</v>
      </c>
      <c r="Z35" s="113" t="s">
        <v>169</v>
      </c>
      <c r="AA35" s="370" t="s">
        <v>142</v>
      </c>
      <c r="AB35" s="369"/>
      <c r="AC35" s="111">
        <v>120</v>
      </c>
      <c r="AD35" s="30">
        <f>AD34</f>
        <v>81</v>
      </c>
      <c r="AE35" s="45">
        <f>AC35/AD35</f>
        <v>1.4814814814814814</v>
      </c>
      <c r="AF35" s="3">
        <v>1</v>
      </c>
      <c r="AG35" s="52">
        <v>3</v>
      </c>
      <c r="AH35" s="258">
        <f>IFERROR(AE34*AG34/AF34,0)</f>
        <v>240.74074074074073</v>
      </c>
      <c r="AI35" s="407"/>
      <c r="AJ35" s="208">
        <f t="shared" si="18"/>
        <v>0</v>
      </c>
      <c r="AK35" s="209">
        <f t="shared" si="19"/>
        <v>0</v>
      </c>
      <c r="AL35" s="220">
        <f t="shared" si="20"/>
        <v>19500</v>
      </c>
      <c r="AM35" s="179">
        <f t="shared" si="21"/>
        <v>120</v>
      </c>
      <c r="AN35" s="39"/>
      <c r="AO35" s="26"/>
      <c r="AP35" s="26"/>
      <c r="AQ35" s="26"/>
      <c r="AR35" s="26"/>
      <c r="AS35" s="26"/>
      <c r="AT35" s="26"/>
      <c r="AU35" s="26"/>
      <c r="AV35" s="26"/>
    </row>
    <row r="36" spans="1:48" outlineLevel="2">
      <c r="A36" s="65">
        <v>18</v>
      </c>
      <c r="B36" s="148">
        <f t="shared" si="10"/>
        <v>0</v>
      </c>
      <c r="C36" s="371">
        <f t="shared" si="23"/>
        <v>0</v>
      </c>
      <c r="D36" s="372"/>
      <c r="E36" s="35"/>
      <c r="F36" s="30"/>
      <c r="G36" s="45"/>
      <c r="H36" s="32"/>
      <c r="I36" s="36"/>
      <c r="J36" s="258"/>
      <c r="K36" s="407"/>
      <c r="L36" s="61"/>
      <c r="M36" s="65">
        <v>18</v>
      </c>
      <c r="N36" s="84"/>
      <c r="O36" s="370"/>
      <c r="P36" s="369"/>
      <c r="Q36" s="35"/>
      <c r="R36" s="30"/>
      <c r="S36" s="45"/>
      <c r="T36" s="32"/>
      <c r="U36" s="36"/>
      <c r="V36" s="258"/>
      <c r="W36" s="407"/>
      <c r="X36" s="39"/>
      <c r="Y36" s="65">
        <v>18</v>
      </c>
      <c r="Z36" s="112" t="s">
        <v>170</v>
      </c>
      <c r="AA36" s="370" t="s">
        <v>142</v>
      </c>
      <c r="AB36" s="369"/>
      <c r="AC36" s="50">
        <v>6</v>
      </c>
      <c r="AD36" s="30">
        <f>AD35</f>
        <v>81</v>
      </c>
      <c r="AE36" s="45">
        <f>AC36/AD36</f>
        <v>7.407407407407407E-2</v>
      </c>
      <c r="AF36" s="3">
        <v>1</v>
      </c>
      <c r="AG36" s="53">
        <v>1000</v>
      </c>
      <c r="AH36" s="258">
        <f>IFERROR(AE35*AG35/AF35,0)</f>
        <v>4.4444444444444446</v>
      </c>
      <c r="AI36" s="407"/>
      <c r="AJ36" s="208">
        <f t="shared" si="18"/>
        <v>0</v>
      </c>
      <c r="AK36" s="209">
        <f t="shared" si="19"/>
        <v>0</v>
      </c>
      <c r="AL36" s="220">
        <f t="shared" si="20"/>
        <v>360</v>
      </c>
      <c r="AM36" s="179">
        <f t="shared" si="21"/>
        <v>6</v>
      </c>
      <c r="AN36" s="39"/>
      <c r="AO36" s="26"/>
      <c r="AP36" s="26"/>
      <c r="AQ36" s="26"/>
      <c r="AR36" s="26"/>
      <c r="AS36" s="26"/>
      <c r="AT36" s="26"/>
      <c r="AU36" s="26"/>
      <c r="AV36" s="26"/>
    </row>
    <row r="37" spans="1:48" ht="23.25" customHeight="1" outlineLevel="2">
      <c r="A37" s="65">
        <v>19</v>
      </c>
      <c r="B37" s="148">
        <f t="shared" si="10"/>
        <v>0</v>
      </c>
      <c r="C37" s="371">
        <f t="shared" si="23"/>
        <v>0</v>
      </c>
      <c r="D37" s="372"/>
      <c r="E37" s="35"/>
      <c r="F37" s="30"/>
      <c r="G37" s="45"/>
      <c r="H37" s="32"/>
      <c r="I37" s="36"/>
      <c r="J37" s="258"/>
      <c r="K37" s="407"/>
      <c r="L37" s="61"/>
      <c r="M37" s="65">
        <v>19</v>
      </c>
      <c r="N37" s="84"/>
      <c r="O37" s="370"/>
      <c r="P37" s="369"/>
      <c r="Q37" s="35"/>
      <c r="R37" s="30"/>
      <c r="S37" s="45"/>
      <c r="T37" s="32"/>
      <c r="U37" s="36"/>
      <c r="V37" s="258"/>
      <c r="W37" s="407"/>
      <c r="X37" s="39"/>
      <c r="Y37" s="65">
        <v>19</v>
      </c>
      <c r="Z37" s="214"/>
      <c r="AA37" s="419" t="s">
        <v>142</v>
      </c>
      <c r="AB37" s="419"/>
      <c r="AC37" s="3"/>
      <c r="AD37" s="31">
        <f>AD36</f>
        <v>81</v>
      </c>
      <c r="AE37" s="3"/>
      <c r="AF37" s="3"/>
      <c r="AG37" s="3"/>
      <c r="AH37" s="258">
        <f>IFERROR(AE36*AG36/AF36,0)</f>
        <v>74.074074074074076</v>
      </c>
      <c r="AI37" s="407"/>
      <c r="AJ37" s="208">
        <f t="shared" si="18"/>
        <v>0</v>
      </c>
      <c r="AK37" s="209">
        <f t="shared" si="19"/>
        <v>0</v>
      </c>
      <c r="AL37" s="220">
        <f t="shared" si="20"/>
        <v>6000</v>
      </c>
      <c r="AM37" s="179">
        <f t="shared" si="21"/>
        <v>0</v>
      </c>
      <c r="AN37" s="39"/>
      <c r="AO37" s="26"/>
      <c r="AP37" s="26"/>
      <c r="AQ37" s="26"/>
      <c r="AR37" s="26"/>
      <c r="AS37" s="26"/>
      <c r="AT37" s="26"/>
      <c r="AU37" s="26"/>
      <c r="AV37" s="26"/>
    </row>
    <row r="38" spans="1:48" hidden="1" outlineLevel="2">
      <c r="A38" s="65">
        <v>20</v>
      </c>
      <c r="B38" s="148">
        <f t="shared" si="10"/>
        <v>0</v>
      </c>
      <c r="C38" s="371">
        <f t="shared" si="23"/>
        <v>0</v>
      </c>
      <c r="D38" s="372"/>
      <c r="E38" s="35"/>
      <c r="F38" s="30"/>
      <c r="G38" s="45"/>
      <c r="H38" s="32"/>
      <c r="I38" s="36"/>
      <c r="J38" s="258"/>
      <c r="K38" s="407"/>
      <c r="L38" s="61"/>
      <c r="M38" s="65">
        <v>20</v>
      </c>
      <c r="N38" s="84"/>
      <c r="O38" s="370"/>
      <c r="P38" s="369"/>
      <c r="Q38" s="35"/>
      <c r="R38" s="30"/>
      <c r="S38" s="45"/>
      <c r="T38" s="32"/>
      <c r="U38" s="36"/>
      <c r="V38" s="258"/>
      <c r="W38" s="407"/>
      <c r="X38" s="39"/>
      <c r="Y38" s="65">
        <v>20</v>
      </c>
      <c r="Z38" s="84"/>
      <c r="AA38" s="54"/>
      <c r="AB38" s="55"/>
      <c r="AC38" s="35"/>
      <c r="AD38" s="31">
        <f>AD37</f>
        <v>81</v>
      </c>
      <c r="AE38" s="45"/>
      <c r="AF38" s="3"/>
      <c r="AG38" s="5"/>
      <c r="AH38" s="258"/>
      <c r="AI38" s="407"/>
      <c r="AJ38" s="208">
        <f t="shared" si="18"/>
        <v>0</v>
      </c>
      <c r="AK38" s="209">
        <f t="shared" si="19"/>
        <v>0</v>
      </c>
      <c r="AL38" s="220">
        <f t="shared" si="20"/>
        <v>0</v>
      </c>
      <c r="AM38" s="179">
        <f t="shared" si="21"/>
        <v>0</v>
      </c>
      <c r="AN38" s="39"/>
      <c r="AO38" s="26"/>
      <c r="AP38" s="26"/>
      <c r="AQ38" s="26"/>
      <c r="AR38" s="26"/>
      <c r="AS38" s="26"/>
      <c r="AT38" s="26"/>
      <c r="AU38" s="26"/>
      <c r="AV38" s="26"/>
    </row>
    <row r="39" spans="1:48" hidden="1" outlineLevel="2">
      <c r="A39" s="65">
        <v>21</v>
      </c>
      <c r="B39" s="148">
        <f t="shared" si="10"/>
        <v>0</v>
      </c>
      <c r="C39" s="371">
        <f t="shared" si="23"/>
        <v>0</v>
      </c>
      <c r="D39" s="372"/>
      <c r="E39" s="35"/>
      <c r="F39" s="30"/>
      <c r="G39" s="45"/>
      <c r="H39" s="32"/>
      <c r="I39" s="36"/>
      <c r="J39" s="258"/>
      <c r="K39" s="407"/>
      <c r="L39" s="61"/>
      <c r="M39" s="65">
        <v>21</v>
      </c>
      <c r="N39" s="84"/>
      <c r="O39" s="370"/>
      <c r="P39" s="369"/>
      <c r="Q39" s="35"/>
      <c r="R39" s="30"/>
      <c r="S39" s="45"/>
      <c r="T39" s="32"/>
      <c r="U39" s="36"/>
      <c r="V39" s="258"/>
      <c r="W39" s="407"/>
      <c r="X39" s="39"/>
      <c r="Y39" s="65">
        <v>21</v>
      </c>
      <c r="Z39" s="84"/>
      <c r="AA39" s="54"/>
      <c r="AB39" s="55"/>
      <c r="AC39" s="35"/>
      <c r="AD39" s="30">
        <f t="shared" si="22"/>
        <v>81</v>
      </c>
      <c r="AE39" s="45"/>
      <c r="AF39" s="3"/>
      <c r="AG39" s="5"/>
      <c r="AH39" s="258"/>
      <c r="AI39" s="407"/>
      <c r="AJ39" s="208">
        <f t="shared" si="18"/>
        <v>0</v>
      </c>
      <c r="AK39" s="209">
        <f t="shared" si="19"/>
        <v>0</v>
      </c>
      <c r="AL39" s="220">
        <f t="shared" si="20"/>
        <v>0</v>
      </c>
      <c r="AM39" s="179">
        <f t="shared" si="21"/>
        <v>0</v>
      </c>
      <c r="AN39" s="39"/>
      <c r="AO39" s="26"/>
      <c r="AP39" s="26"/>
      <c r="AQ39" s="26"/>
      <c r="AR39" s="26"/>
      <c r="AS39" s="26"/>
      <c r="AT39" s="26"/>
      <c r="AU39" s="26"/>
      <c r="AV39" s="26"/>
    </row>
    <row r="40" spans="1:48" hidden="1" outlineLevel="2">
      <c r="A40" s="65">
        <v>22</v>
      </c>
      <c r="B40" s="148">
        <f t="shared" si="10"/>
        <v>0</v>
      </c>
      <c r="C40" s="371">
        <f t="shared" si="23"/>
        <v>0</v>
      </c>
      <c r="D40" s="372"/>
      <c r="E40" s="35"/>
      <c r="F40" s="30"/>
      <c r="G40" s="45"/>
      <c r="H40" s="32"/>
      <c r="I40" s="36"/>
      <c r="J40" s="258"/>
      <c r="K40" s="407"/>
      <c r="L40" s="61"/>
      <c r="M40" s="65">
        <v>22</v>
      </c>
      <c r="N40" s="84"/>
      <c r="O40" s="370"/>
      <c r="P40" s="369"/>
      <c r="Q40" s="35"/>
      <c r="R40" s="30"/>
      <c r="S40" s="45"/>
      <c r="T40" s="32"/>
      <c r="U40" s="36"/>
      <c r="V40" s="258"/>
      <c r="W40" s="407"/>
      <c r="X40" s="39"/>
      <c r="Y40" s="65">
        <v>22</v>
      </c>
      <c r="Z40" s="84"/>
      <c r="AA40" s="54"/>
      <c r="AB40" s="55"/>
      <c r="AC40" s="35"/>
      <c r="AD40" s="30">
        <f t="shared" si="22"/>
        <v>81</v>
      </c>
      <c r="AE40" s="45"/>
      <c r="AF40" s="3"/>
      <c r="AG40" s="5"/>
      <c r="AH40" s="258"/>
      <c r="AI40" s="407"/>
      <c r="AJ40" s="208">
        <f t="shared" si="18"/>
        <v>0</v>
      </c>
      <c r="AK40" s="209">
        <f t="shared" si="19"/>
        <v>0</v>
      </c>
      <c r="AL40" s="220">
        <f t="shared" si="20"/>
        <v>0</v>
      </c>
      <c r="AM40" s="179">
        <f t="shared" si="21"/>
        <v>0</v>
      </c>
      <c r="AN40" s="39"/>
      <c r="AO40" s="26"/>
      <c r="AP40" s="26"/>
      <c r="AQ40" s="26"/>
      <c r="AR40" s="26"/>
      <c r="AS40" s="26"/>
      <c r="AT40" s="26"/>
      <c r="AU40" s="26"/>
      <c r="AV40" s="26"/>
    </row>
    <row r="41" spans="1:48" hidden="1" outlineLevel="2">
      <c r="A41" s="65">
        <v>23</v>
      </c>
      <c r="B41" s="148">
        <f t="shared" si="10"/>
        <v>0</v>
      </c>
      <c r="C41" s="371">
        <f t="shared" si="23"/>
        <v>0</v>
      </c>
      <c r="D41" s="372"/>
      <c r="E41" s="35"/>
      <c r="F41" s="30"/>
      <c r="G41" s="45"/>
      <c r="H41" s="32"/>
      <c r="I41" s="36"/>
      <c r="J41" s="258"/>
      <c r="K41" s="407"/>
      <c r="L41" s="61"/>
      <c r="M41" s="65">
        <v>23</v>
      </c>
      <c r="N41" s="84"/>
      <c r="O41" s="370"/>
      <c r="P41" s="369"/>
      <c r="Q41" s="35"/>
      <c r="R41" s="30"/>
      <c r="S41" s="45"/>
      <c r="T41" s="32"/>
      <c r="U41" s="36"/>
      <c r="V41" s="258"/>
      <c r="W41" s="407"/>
      <c r="X41" s="147"/>
      <c r="Y41" s="65">
        <v>23</v>
      </c>
      <c r="Z41" s="84"/>
      <c r="AA41" s="370"/>
      <c r="AB41" s="369"/>
      <c r="AC41" s="35"/>
      <c r="AD41" s="30">
        <f t="shared" si="22"/>
        <v>81</v>
      </c>
      <c r="AE41" s="45"/>
      <c r="AF41" s="3"/>
      <c r="AG41" s="5"/>
      <c r="AH41" s="258">
        <f t="shared" si="9"/>
        <v>0</v>
      </c>
      <c r="AI41" s="407"/>
      <c r="AJ41" s="208">
        <f t="shared" si="18"/>
        <v>0</v>
      </c>
      <c r="AK41" s="209">
        <f t="shared" si="19"/>
        <v>0</v>
      </c>
      <c r="AL41" s="220">
        <f t="shared" si="20"/>
        <v>0</v>
      </c>
      <c r="AM41" s="179">
        <f t="shared" si="21"/>
        <v>0</v>
      </c>
      <c r="AN41" s="39"/>
      <c r="AO41" s="26"/>
      <c r="AP41" s="26"/>
      <c r="AQ41" s="26"/>
      <c r="AR41" s="26"/>
      <c r="AS41" s="26"/>
      <c r="AT41" s="26"/>
      <c r="AU41" s="26"/>
      <c r="AV41" s="26"/>
    </row>
    <row r="42" spans="1:48" ht="18.75" customHeight="1" outlineLevel="2">
      <c r="A42" s="409" t="s">
        <v>41</v>
      </c>
      <c r="B42" s="410"/>
      <c r="C42" s="410"/>
      <c r="D42" s="410"/>
      <c r="E42" s="410"/>
      <c r="F42" s="410"/>
      <c r="G42" s="410"/>
      <c r="H42" s="410"/>
      <c r="I42" s="411"/>
      <c r="J42" s="259">
        <f>SUM(J19:J41)</f>
        <v>837.76543209876547</v>
      </c>
      <c r="K42" s="408"/>
      <c r="L42" s="61"/>
      <c r="M42" s="400" t="s">
        <v>41</v>
      </c>
      <c r="N42" s="401"/>
      <c r="O42" s="401"/>
      <c r="P42" s="401"/>
      <c r="Q42" s="401"/>
      <c r="R42" s="401"/>
      <c r="S42" s="401"/>
      <c r="T42" s="401"/>
      <c r="U42" s="402"/>
      <c r="V42" s="259">
        <f>SUM(V19:V41)</f>
        <v>868.79441760601196</v>
      </c>
      <c r="W42" s="408"/>
      <c r="X42" s="39"/>
      <c r="Y42" s="400" t="s">
        <v>41</v>
      </c>
      <c r="Z42" s="401"/>
      <c r="AA42" s="401"/>
      <c r="AB42" s="401"/>
      <c r="AC42" s="401"/>
      <c r="AD42" s="401"/>
      <c r="AE42" s="401"/>
      <c r="AF42" s="401"/>
      <c r="AG42" s="402"/>
      <c r="AH42" s="259">
        <f>SUM(AH19:AH41)</f>
        <v>925.92592592592587</v>
      </c>
      <c r="AI42" s="408"/>
      <c r="AJ42" s="13">
        <f>AH42*AD41+R32*V42+F32*J42</f>
        <v>145000.00000000003</v>
      </c>
      <c r="AK42" s="150">
        <f>SUM(AK19:AK37)</f>
        <v>70000</v>
      </c>
      <c r="AL42" s="150">
        <f>SUM(AL19:AL37)</f>
        <v>75000</v>
      </c>
      <c r="AM42" s="13"/>
      <c r="AN42" s="39"/>
      <c r="AO42" s="26"/>
      <c r="AP42" s="26"/>
      <c r="AQ42" s="26"/>
      <c r="AR42" s="26"/>
      <c r="AS42" s="26"/>
      <c r="AT42" s="210"/>
      <c r="AU42" s="26"/>
      <c r="AV42" s="26"/>
    </row>
    <row r="43" spans="1:48" s="34" customFormat="1" outlineLevel="2">
      <c r="A43" s="433"/>
      <c r="B43" s="434"/>
      <c r="C43" s="434"/>
      <c r="D43" s="434"/>
      <c r="E43" s="434"/>
      <c r="F43" s="434"/>
      <c r="G43" s="434"/>
      <c r="H43" s="434"/>
      <c r="I43" s="434"/>
      <c r="J43" s="434"/>
      <c r="K43" s="435"/>
      <c r="L43" s="61"/>
      <c r="M43" s="69"/>
      <c r="N43" s="37"/>
      <c r="O43" s="37"/>
      <c r="P43" s="37"/>
      <c r="Q43" s="37"/>
      <c r="R43" s="37"/>
      <c r="S43" s="37"/>
      <c r="T43" s="37"/>
      <c r="U43" s="38"/>
      <c r="V43" s="271"/>
      <c r="W43" s="70"/>
      <c r="X43" s="39"/>
      <c r="Y43" s="69"/>
      <c r="Z43" s="37"/>
      <c r="AA43" s="37"/>
      <c r="AB43" s="37"/>
      <c r="AC43" s="37"/>
      <c r="AD43" s="37"/>
      <c r="AE43" s="37"/>
      <c r="AF43" s="37"/>
      <c r="AG43" s="38"/>
      <c r="AH43" s="271"/>
      <c r="AI43" s="70"/>
      <c r="AJ43" s="146">
        <f>AJ42-AK42-AL42</f>
        <v>0</v>
      </c>
      <c r="AK43" s="229">
        <f>AF151</f>
        <v>70000</v>
      </c>
      <c r="AL43" s="229">
        <f>AE151</f>
        <v>75000</v>
      </c>
      <c r="AM43" s="39"/>
      <c r="AN43" s="164"/>
      <c r="AO43" s="26"/>
      <c r="AP43" s="210"/>
      <c r="AQ43" s="26"/>
      <c r="AR43" s="26"/>
      <c r="AS43" s="26"/>
      <c r="AT43" s="26"/>
      <c r="AU43" s="26"/>
      <c r="AV43" s="26"/>
    </row>
    <row r="44" spans="1:48" s="6" customFormat="1" ht="68.25" customHeight="1">
      <c r="A44" s="91" t="s">
        <v>1</v>
      </c>
      <c r="B44" s="92" t="s">
        <v>3</v>
      </c>
      <c r="C44" s="393"/>
      <c r="D44" s="394"/>
      <c r="E44" s="92" t="s">
        <v>58</v>
      </c>
      <c r="F44" s="92" t="s">
        <v>2</v>
      </c>
      <c r="G44" s="89" t="s">
        <v>53</v>
      </c>
      <c r="H44" s="89" t="s">
        <v>56</v>
      </c>
      <c r="I44" s="89" t="s">
        <v>69</v>
      </c>
      <c r="J44" s="257" t="s">
        <v>5</v>
      </c>
      <c r="K44" s="90" t="s">
        <v>0</v>
      </c>
      <c r="L44" s="57"/>
      <c r="M44" s="91" t="s">
        <v>1</v>
      </c>
      <c r="N44" s="92" t="s">
        <v>3</v>
      </c>
      <c r="O44" s="393"/>
      <c r="P44" s="394"/>
      <c r="Q44" s="92" t="s">
        <v>58</v>
      </c>
      <c r="R44" s="92" t="s">
        <v>2</v>
      </c>
      <c r="S44" s="89" t="s">
        <v>53</v>
      </c>
      <c r="T44" s="89" t="s">
        <v>56</v>
      </c>
      <c r="U44" s="89" t="s">
        <v>69</v>
      </c>
      <c r="V44" s="257" t="s">
        <v>5</v>
      </c>
      <c r="W44" s="90" t="s">
        <v>0</v>
      </c>
      <c r="X44" s="72"/>
      <c r="Y44" s="91" t="s">
        <v>1</v>
      </c>
      <c r="Z44" s="92" t="s">
        <v>3</v>
      </c>
      <c r="AA44" s="393"/>
      <c r="AB44" s="394"/>
      <c r="AC44" s="92" t="s">
        <v>58</v>
      </c>
      <c r="AD44" s="92" t="s">
        <v>2</v>
      </c>
      <c r="AE44" s="89" t="s">
        <v>53</v>
      </c>
      <c r="AF44" s="89" t="s">
        <v>56</v>
      </c>
      <c r="AG44" s="89" t="s">
        <v>69</v>
      </c>
      <c r="AH44" s="257" t="s">
        <v>5</v>
      </c>
      <c r="AI44" s="90" t="s">
        <v>0</v>
      </c>
      <c r="AJ44" s="10"/>
      <c r="AK44" s="136">
        <f>AK43-AK42</f>
        <v>0</v>
      </c>
      <c r="AL44" s="136">
        <f>AL43-AL42</f>
        <v>0</v>
      </c>
      <c r="AM44" s="10"/>
      <c r="AN44" s="72"/>
      <c r="AO44" s="212"/>
      <c r="AP44" s="212"/>
      <c r="AQ44" s="212"/>
      <c r="AR44" s="212"/>
      <c r="AS44" s="212"/>
      <c r="AT44" s="212"/>
      <c r="AU44" s="212"/>
      <c r="AV44" s="212"/>
    </row>
    <row r="45" spans="1:48">
      <c r="A45" s="88">
        <v>1</v>
      </c>
      <c r="B45" s="89">
        <v>2</v>
      </c>
      <c r="C45" s="395"/>
      <c r="D45" s="396"/>
      <c r="E45" s="89">
        <v>3</v>
      </c>
      <c r="F45" s="89">
        <v>4</v>
      </c>
      <c r="G45" s="89" t="s">
        <v>71</v>
      </c>
      <c r="H45" s="89">
        <v>6</v>
      </c>
      <c r="I45" s="89">
        <v>7</v>
      </c>
      <c r="J45" s="257" t="s">
        <v>55</v>
      </c>
      <c r="K45" s="90">
        <v>9</v>
      </c>
      <c r="L45" s="57"/>
      <c r="M45" s="88">
        <v>1</v>
      </c>
      <c r="N45" s="89">
        <v>2</v>
      </c>
      <c r="O45" s="395"/>
      <c r="P45" s="396"/>
      <c r="Q45" s="89">
        <v>3</v>
      </c>
      <c r="R45" s="89">
        <v>4</v>
      </c>
      <c r="S45" s="89" t="s">
        <v>71</v>
      </c>
      <c r="T45" s="89">
        <v>6</v>
      </c>
      <c r="U45" s="89">
        <v>7</v>
      </c>
      <c r="V45" s="257" t="s">
        <v>55</v>
      </c>
      <c r="W45" s="90">
        <v>9</v>
      </c>
      <c r="X45" s="72"/>
      <c r="Y45" s="88">
        <v>1</v>
      </c>
      <c r="Z45" s="89">
        <v>2</v>
      </c>
      <c r="AA45" s="395"/>
      <c r="AB45" s="396"/>
      <c r="AC45" s="89">
        <v>3</v>
      </c>
      <c r="AD45" s="89">
        <v>4</v>
      </c>
      <c r="AE45" s="89" t="s">
        <v>71</v>
      </c>
      <c r="AF45" s="89">
        <v>6</v>
      </c>
      <c r="AG45" s="89">
        <v>7</v>
      </c>
      <c r="AH45" s="257" t="s">
        <v>55</v>
      </c>
      <c r="AI45" s="90">
        <v>9</v>
      </c>
      <c r="AJ45" s="10"/>
      <c r="AK45" s="193"/>
      <c r="AL45" s="136">
        <v>7588</v>
      </c>
      <c r="AM45" s="10"/>
      <c r="AN45" s="10"/>
    </row>
    <row r="46" spans="1:48" ht="19.5">
      <c r="A46" s="397" t="s">
        <v>8</v>
      </c>
      <c r="B46" s="398"/>
      <c r="C46" s="398"/>
      <c r="D46" s="398"/>
      <c r="E46" s="398"/>
      <c r="F46" s="398"/>
      <c r="G46" s="398"/>
      <c r="H46" s="398"/>
      <c r="I46" s="398"/>
      <c r="J46" s="398"/>
      <c r="K46" s="399"/>
      <c r="L46" s="58"/>
      <c r="M46" s="397" t="s">
        <v>8</v>
      </c>
      <c r="N46" s="398"/>
      <c r="O46" s="398"/>
      <c r="P46" s="398"/>
      <c r="Q46" s="398"/>
      <c r="R46" s="398"/>
      <c r="S46" s="398"/>
      <c r="T46" s="398"/>
      <c r="U46" s="398"/>
      <c r="V46" s="398"/>
      <c r="W46" s="399"/>
      <c r="X46" s="73"/>
      <c r="Y46" s="397" t="s">
        <v>8</v>
      </c>
      <c r="Z46" s="398"/>
      <c r="AA46" s="398"/>
      <c r="AB46" s="398"/>
      <c r="AC46" s="398"/>
      <c r="AD46" s="398"/>
      <c r="AE46" s="398"/>
      <c r="AF46" s="398"/>
      <c r="AG46" s="398"/>
      <c r="AH46" s="398"/>
      <c r="AI46" s="399"/>
      <c r="AJ46" s="11"/>
      <c r="AK46" s="137"/>
      <c r="AL46" s="218"/>
      <c r="AM46" s="11"/>
      <c r="AN46" s="11"/>
    </row>
    <row r="47" spans="1:48" ht="19.5" outlineLevel="2">
      <c r="A47" s="99">
        <v>1</v>
      </c>
      <c r="B47" s="100" t="s">
        <v>84</v>
      </c>
      <c r="C47" s="371" t="s">
        <v>122</v>
      </c>
      <c r="D47" s="372"/>
      <c r="E47" s="28">
        <f>15/81*F47</f>
        <v>2.2222222222222223</v>
      </c>
      <c r="F47" s="30">
        <f>F9</f>
        <v>12</v>
      </c>
      <c r="G47" s="78">
        <f>E47/F47</f>
        <v>0.1851851851851852</v>
      </c>
      <c r="H47" s="32">
        <v>1</v>
      </c>
      <c r="I47" s="5">
        <f>U47</f>
        <v>2500</v>
      </c>
      <c r="J47" s="258">
        <f>IFERROR(G47*I47/H47,0)</f>
        <v>462.96296296296299</v>
      </c>
      <c r="K47" s="416" t="s">
        <v>57</v>
      </c>
      <c r="L47" s="58"/>
      <c r="M47" s="99">
        <v>1</v>
      </c>
      <c r="N47" s="100" t="s">
        <v>84</v>
      </c>
      <c r="O47" s="371" t="s">
        <v>122</v>
      </c>
      <c r="P47" s="372"/>
      <c r="Q47" s="28">
        <f>15/81*R47</f>
        <v>12.777777777777777</v>
      </c>
      <c r="R47" s="30">
        <f>R9</f>
        <v>69</v>
      </c>
      <c r="S47" s="78">
        <f t="shared" ref="S47:S49" si="28">Q47/R47</f>
        <v>0.18518518518518517</v>
      </c>
      <c r="T47" s="32">
        <v>1</v>
      </c>
      <c r="U47" s="5">
        <v>2500</v>
      </c>
      <c r="V47" s="258">
        <f t="shared" ref="V47:V49" si="29">IFERROR(S47*U47/T47,0)</f>
        <v>462.96296296296293</v>
      </c>
      <c r="W47" s="416" t="s">
        <v>57</v>
      </c>
      <c r="X47" s="73"/>
      <c r="Y47" s="99">
        <v>1</v>
      </c>
      <c r="Z47" s="100"/>
      <c r="AA47" s="371"/>
      <c r="AB47" s="372"/>
      <c r="AC47" s="28"/>
      <c r="AD47" s="30"/>
      <c r="AE47" s="78"/>
      <c r="AF47" s="3"/>
      <c r="AG47" s="5"/>
      <c r="AH47" s="258"/>
      <c r="AI47" s="416" t="s">
        <v>57</v>
      </c>
      <c r="AJ47" s="219">
        <f>AC47+Q47+E47</f>
        <v>15</v>
      </c>
      <c r="AK47" s="138">
        <f>AH47*AC47+V47*R47+J47*F47</f>
        <v>37500</v>
      </c>
      <c r="AL47" s="222">
        <v>37500</v>
      </c>
      <c r="AM47" s="221"/>
      <c r="AN47" s="26">
        <v>226</v>
      </c>
      <c r="AO47" s="26"/>
      <c r="AQ47" s="26"/>
      <c r="AR47" s="26"/>
      <c r="AS47" s="26"/>
    </row>
    <row r="48" spans="1:48" ht="30" outlineLevel="2">
      <c r="A48" s="99">
        <v>2</v>
      </c>
      <c r="B48" s="100" t="s">
        <v>85</v>
      </c>
      <c r="C48" s="371" t="s">
        <v>122</v>
      </c>
      <c r="D48" s="372"/>
      <c r="E48" s="28">
        <f>5/81*F48</f>
        <v>0.7407407407407407</v>
      </c>
      <c r="F48" s="30">
        <f>F10</f>
        <v>12</v>
      </c>
      <c r="G48" s="78">
        <f t="shared" ref="G48:G49" si="30">E48/F48</f>
        <v>6.1728395061728392E-2</v>
      </c>
      <c r="H48" s="32">
        <v>1</v>
      </c>
      <c r="I48" s="5">
        <f t="shared" ref="I48:I49" si="31">U48</f>
        <v>2250</v>
      </c>
      <c r="J48" s="258">
        <f t="shared" ref="J48:J49" si="32">IFERROR(G48*I48/H48,0)</f>
        <v>138.88888888888889</v>
      </c>
      <c r="K48" s="417"/>
      <c r="L48" s="58"/>
      <c r="M48" s="99">
        <v>2</v>
      </c>
      <c r="N48" s="100" t="s">
        <v>85</v>
      </c>
      <c r="O48" s="371" t="s">
        <v>122</v>
      </c>
      <c r="P48" s="372"/>
      <c r="Q48" s="28">
        <f>5/81*R48</f>
        <v>4.2592592592592586</v>
      </c>
      <c r="R48" s="30">
        <f>R10</f>
        <v>69</v>
      </c>
      <c r="S48" s="78">
        <f t="shared" si="28"/>
        <v>6.1728395061728385E-2</v>
      </c>
      <c r="T48" s="32">
        <v>1</v>
      </c>
      <c r="U48" s="5">
        <v>2250</v>
      </c>
      <c r="V48" s="258">
        <f t="shared" si="29"/>
        <v>138.88888888888886</v>
      </c>
      <c r="W48" s="417"/>
      <c r="X48" s="73"/>
      <c r="Y48" s="99">
        <v>2</v>
      </c>
      <c r="Z48" s="100"/>
      <c r="AA48" s="371"/>
      <c r="AB48" s="372"/>
      <c r="AC48" s="28"/>
      <c r="AD48" s="30"/>
      <c r="AE48" s="78"/>
      <c r="AF48" s="3"/>
      <c r="AG48" s="5"/>
      <c r="AH48" s="258"/>
      <c r="AI48" s="417"/>
      <c r="AJ48" s="219">
        <f t="shared" ref="AJ48:AJ49" si="33">AC48+Q48+E48</f>
        <v>4.9999999999999991</v>
      </c>
      <c r="AK48" s="138">
        <f t="shared" ref="AK48:AK49" si="34">AH48*AC48+V48*R48+J48*F48</f>
        <v>11249.999999999996</v>
      </c>
      <c r="AL48" s="222">
        <f>AF141</f>
        <v>11250</v>
      </c>
      <c r="AM48" s="14"/>
      <c r="AN48" s="26">
        <v>212</v>
      </c>
      <c r="AO48" s="216"/>
      <c r="AQ48" s="26"/>
      <c r="AR48" s="26"/>
      <c r="AS48" s="26"/>
    </row>
    <row r="49" spans="1:46" ht="30" outlineLevel="2">
      <c r="A49" s="99">
        <v>3</v>
      </c>
      <c r="B49" s="100" t="s">
        <v>120</v>
      </c>
      <c r="C49" s="371" t="s">
        <v>48</v>
      </c>
      <c r="D49" s="372"/>
      <c r="E49" s="28">
        <f>1/81*F49</f>
        <v>0.14814814814814814</v>
      </c>
      <c r="F49" s="30">
        <f>F48</f>
        <v>12</v>
      </c>
      <c r="G49" s="78">
        <f t="shared" si="30"/>
        <v>1.2345679012345678E-2</v>
      </c>
      <c r="H49" s="32">
        <v>1</v>
      </c>
      <c r="I49" s="5">
        <f t="shared" si="31"/>
        <v>7500</v>
      </c>
      <c r="J49" s="258">
        <f t="shared" si="32"/>
        <v>92.592592592592581</v>
      </c>
      <c r="K49" s="417"/>
      <c r="L49" s="58"/>
      <c r="M49" s="99">
        <v>3</v>
      </c>
      <c r="N49" s="100" t="s">
        <v>120</v>
      </c>
      <c r="O49" s="371" t="s">
        <v>48</v>
      </c>
      <c r="P49" s="372"/>
      <c r="Q49" s="28">
        <f>1/81*R49</f>
        <v>0.85185185185185186</v>
      </c>
      <c r="R49" s="30">
        <f>R48</f>
        <v>69</v>
      </c>
      <c r="S49" s="78">
        <f t="shared" si="28"/>
        <v>1.2345679012345678E-2</v>
      </c>
      <c r="T49" s="32">
        <v>1</v>
      </c>
      <c r="U49" s="5">
        <v>7500</v>
      </c>
      <c r="V49" s="258">
        <f t="shared" si="29"/>
        <v>92.592592592592581</v>
      </c>
      <c r="W49" s="417"/>
      <c r="X49" s="73"/>
      <c r="Y49" s="99">
        <v>3</v>
      </c>
      <c r="Z49" s="100"/>
      <c r="AA49" s="371"/>
      <c r="AB49" s="372"/>
      <c r="AC49" s="28"/>
      <c r="AD49" s="30"/>
      <c r="AE49" s="78"/>
      <c r="AF49" s="3"/>
      <c r="AG49" s="5"/>
      <c r="AH49" s="258"/>
      <c r="AI49" s="417"/>
      <c r="AJ49" s="219">
        <f t="shared" si="33"/>
        <v>1</v>
      </c>
      <c r="AK49" s="138">
        <f t="shared" si="34"/>
        <v>7499.9999999999982</v>
      </c>
      <c r="AL49" s="222">
        <v>7500</v>
      </c>
      <c r="AM49" s="14"/>
      <c r="AN49" s="26">
        <v>226</v>
      </c>
      <c r="AO49" s="26"/>
      <c r="AQ49" s="26"/>
      <c r="AR49" s="26"/>
      <c r="AS49" s="26"/>
    </row>
    <row r="50" spans="1:46" outlineLevel="2">
      <c r="A50" s="400" t="s">
        <v>42</v>
      </c>
      <c r="B50" s="401"/>
      <c r="C50" s="401"/>
      <c r="D50" s="401"/>
      <c r="E50" s="401"/>
      <c r="F50" s="401"/>
      <c r="G50" s="401"/>
      <c r="H50" s="401"/>
      <c r="I50" s="402"/>
      <c r="J50" s="259">
        <f>SUM(J47:J49)</f>
        <v>694.44444444444446</v>
      </c>
      <c r="K50" s="417"/>
      <c r="L50" s="61"/>
      <c r="M50" s="400" t="s">
        <v>42</v>
      </c>
      <c r="N50" s="401"/>
      <c r="O50" s="401"/>
      <c r="P50" s="401"/>
      <c r="Q50" s="401"/>
      <c r="R50" s="401"/>
      <c r="S50" s="401"/>
      <c r="T50" s="401"/>
      <c r="U50" s="402"/>
      <c r="V50" s="259">
        <f>SUM(V47:V49)</f>
        <v>694.44444444444434</v>
      </c>
      <c r="W50" s="417"/>
      <c r="X50" s="39"/>
      <c r="Y50" s="400" t="s">
        <v>42</v>
      </c>
      <c r="Z50" s="401"/>
      <c r="AA50" s="401"/>
      <c r="AB50" s="401"/>
      <c r="AC50" s="401"/>
      <c r="AD50" s="401"/>
      <c r="AE50" s="401"/>
      <c r="AF50" s="401"/>
      <c r="AG50" s="402"/>
      <c r="AH50" s="259">
        <f>SUM(AH47:AH49)</f>
        <v>0</v>
      </c>
      <c r="AI50" s="417"/>
      <c r="AJ50" s="14">
        <f>AH50*AD47+V50*R47+J50*F47</f>
        <v>56249.999999999993</v>
      </c>
      <c r="AK50" s="150">
        <f>SUM(AK47:AK49)</f>
        <v>56250</v>
      </c>
      <c r="AL50" s="230">
        <f>AF141+AF148</f>
        <v>56250</v>
      </c>
      <c r="AM50" s="165"/>
      <c r="AN50" s="14"/>
      <c r="AO50" s="216"/>
      <c r="AP50" s="26"/>
      <c r="AQ50" s="26"/>
      <c r="AR50" s="26"/>
      <c r="AS50" s="26"/>
    </row>
    <row r="51" spans="1:46" ht="18" customHeight="1">
      <c r="A51" s="373" t="s">
        <v>86</v>
      </c>
      <c r="B51" s="373"/>
      <c r="C51" s="373"/>
      <c r="D51" s="373"/>
      <c r="E51" s="373"/>
      <c r="F51" s="373"/>
      <c r="G51" s="373"/>
      <c r="H51" s="373"/>
      <c r="I51" s="373"/>
      <c r="J51" s="261">
        <f>J50+J42+J14</f>
        <v>123711.23687654332</v>
      </c>
      <c r="K51" s="418"/>
      <c r="M51" s="437" t="s">
        <v>86</v>
      </c>
      <c r="N51" s="373"/>
      <c r="O51" s="373"/>
      <c r="P51" s="373"/>
      <c r="Q51" s="373"/>
      <c r="R51" s="373"/>
      <c r="S51" s="373"/>
      <c r="T51" s="373"/>
      <c r="U51" s="373"/>
      <c r="V51" s="261">
        <f>V50+V42+V14</f>
        <v>77914.668949007013</v>
      </c>
      <c r="W51" s="418"/>
      <c r="Y51" s="373" t="s">
        <v>86</v>
      </c>
      <c r="Z51" s="373"/>
      <c r="AA51" s="373"/>
      <c r="AB51" s="373"/>
      <c r="AC51" s="373"/>
      <c r="AD51" s="373"/>
      <c r="AE51" s="373"/>
      <c r="AF51" s="373"/>
      <c r="AG51" s="373"/>
      <c r="AH51" s="261">
        <f>AH50+AH42+AH14</f>
        <v>38539.259259259263</v>
      </c>
      <c r="AI51" s="418"/>
      <c r="AJ51" s="149">
        <f>AK50-AJ50</f>
        <v>0</v>
      </c>
      <c r="AK51" s="141">
        <f>AL50-AK50</f>
        <v>0</v>
      </c>
      <c r="AL51" s="155"/>
      <c r="AM51" s="15"/>
      <c r="AN51" s="15"/>
      <c r="AO51" s="217"/>
      <c r="AP51" s="26"/>
      <c r="AQ51" s="216"/>
      <c r="AR51" s="26"/>
      <c r="AS51" s="26"/>
    </row>
    <row r="52" spans="1:46" ht="56.25">
      <c r="A52" s="93" t="s">
        <v>9</v>
      </c>
      <c r="B52" s="94" t="s">
        <v>10</v>
      </c>
      <c r="C52" s="94" t="s">
        <v>26</v>
      </c>
      <c r="D52" s="94" t="s">
        <v>18</v>
      </c>
      <c r="E52" s="95" t="s">
        <v>2</v>
      </c>
      <c r="F52" s="94" t="s">
        <v>76</v>
      </c>
      <c r="G52" s="94" t="s">
        <v>49</v>
      </c>
      <c r="H52" s="94" t="s">
        <v>70</v>
      </c>
      <c r="I52" s="94" t="s">
        <v>21</v>
      </c>
      <c r="J52" s="262" t="s">
        <v>11</v>
      </c>
      <c r="K52" s="96" t="s">
        <v>43</v>
      </c>
      <c r="L52" s="62"/>
      <c r="M52" s="93" t="s">
        <v>9</v>
      </c>
      <c r="N52" s="94" t="s">
        <v>10</v>
      </c>
      <c r="O52" s="94" t="s">
        <v>26</v>
      </c>
      <c r="P52" s="94" t="s">
        <v>18</v>
      </c>
      <c r="Q52" s="95" t="s">
        <v>2</v>
      </c>
      <c r="R52" s="94" t="s">
        <v>76</v>
      </c>
      <c r="S52" s="94" t="s">
        <v>49</v>
      </c>
      <c r="T52" s="94" t="s">
        <v>70</v>
      </c>
      <c r="U52" s="94" t="s">
        <v>21</v>
      </c>
      <c r="V52" s="262" t="s">
        <v>11</v>
      </c>
      <c r="W52" s="96" t="s">
        <v>43</v>
      </c>
      <c r="X52" s="74"/>
      <c r="Y52" s="93" t="s">
        <v>9</v>
      </c>
      <c r="Z52" s="94" t="s">
        <v>10</v>
      </c>
      <c r="AA52" s="94" t="s">
        <v>26</v>
      </c>
      <c r="AB52" s="94" t="s">
        <v>18</v>
      </c>
      <c r="AC52" s="95" t="s">
        <v>2</v>
      </c>
      <c r="AD52" s="94" t="s">
        <v>76</v>
      </c>
      <c r="AE52" s="94" t="s">
        <v>49</v>
      </c>
      <c r="AF52" s="94" t="s">
        <v>70</v>
      </c>
      <c r="AG52" s="94" t="s">
        <v>21</v>
      </c>
      <c r="AH52" s="262" t="s">
        <v>11</v>
      </c>
      <c r="AI52" s="96" t="s">
        <v>43</v>
      </c>
      <c r="AJ52" s="40"/>
      <c r="AK52" s="142"/>
      <c r="AL52" s="142"/>
      <c r="AO52" s="26"/>
      <c r="AP52" s="194"/>
      <c r="AQ52" s="26"/>
      <c r="AR52" s="26"/>
      <c r="AS52" s="26"/>
    </row>
    <row r="53" spans="1:46">
      <c r="A53" s="97">
        <v>1</v>
      </c>
      <c r="B53" s="98">
        <v>1</v>
      </c>
      <c r="C53" s="98">
        <v>2</v>
      </c>
      <c r="D53" s="98">
        <v>3</v>
      </c>
      <c r="E53" s="98">
        <v>4</v>
      </c>
      <c r="F53" s="98">
        <v>5</v>
      </c>
      <c r="G53" s="98" t="s">
        <v>59</v>
      </c>
      <c r="H53" s="98">
        <v>7</v>
      </c>
      <c r="I53" s="98">
        <v>8</v>
      </c>
      <c r="J53" s="263" t="s">
        <v>89</v>
      </c>
      <c r="K53" s="114">
        <v>10</v>
      </c>
      <c r="L53" s="62"/>
      <c r="M53" s="97">
        <v>1</v>
      </c>
      <c r="N53" s="98">
        <v>1</v>
      </c>
      <c r="O53" s="98">
        <v>2</v>
      </c>
      <c r="P53" s="98">
        <v>3</v>
      </c>
      <c r="Q53" s="98">
        <v>4</v>
      </c>
      <c r="R53" s="98">
        <v>5</v>
      </c>
      <c r="S53" s="98" t="s">
        <v>59</v>
      </c>
      <c r="T53" s="98">
        <v>7</v>
      </c>
      <c r="U53" s="98">
        <v>8</v>
      </c>
      <c r="V53" s="263" t="s">
        <v>89</v>
      </c>
      <c r="W53" s="114">
        <v>10</v>
      </c>
      <c r="X53" s="74"/>
      <c r="Y53" s="97">
        <v>1</v>
      </c>
      <c r="Z53" s="98">
        <v>1</v>
      </c>
      <c r="AA53" s="98">
        <v>2</v>
      </c>
      <c r="AB53" s="98">
        <v>3</v>
      </c>
      <c r="AC53" s="98">
        <v>4</v>
      </c>
      <c r="AD53" s="98">
        <v>5</v>
      </c>
      <c r="AE53" s="98" t="s">
        <v>59</v>
      </c>
      <c r="AF53" s="98">
        <v>7</v>
      </c>
      <c r="AG53" s="98">
        <v>8</v>
      </c>
      <c r="AH53" s="263" t="s">
        <v>89</v>
      </c>
      <c r="AI53" s="114">
        <v>10</v>
      </c>
      <c r="AJ53" s="40"/>
      <c r="AK53" s="142"/>
      <c r="AL53" s="142"/>
    </row>
    <row r="54" spans="1:46" ht="15" customHeight="1">
      <c r="A54" s="380" t="s">
        <v>12</v>
      </c>
      <c r="B54" s="381"/>
      <c r="C54" s="381"/>
      <c r="D54" s="381"/>
      <c r="E54" s="381"/>
      <c r="F54" s="381"/>
      <c r="G54" s="381"/>
      <c r="H54" s="381"/>
      <c r="I54" s="381"/>
      <c r="J54" s="381"/>
      <c r="K54" s="382"/>
      <c r="L54" s="63"/>
      <c r="M54" s="380" t="s">
        <v>12</v>
      </c>
      <c r="N54" s="381"/>
      <c r="O54" s="381"/>
      <c r="P54" s="381"/>
      <c r="Q54" s="381"/>
      <c r="R54" s="381"/>
      <c r="S54" s="381"/>
      <c r="T54" s="381"/>
      <c r="U54" s="381"/>
      <c r="V54" s="381"/>
      <c r="W54" s="382"/>
      <c r="X54" s="75"/>
      <c r="Y54" s="380" t="s">
        <v>12</v>
      </c>
      <c r="Z54" s="381"/>
      <c r="AA54" s="381"/>
      <c r="AB54" s="381"/>
      <c r="AC54" s="381"/>
      <c r="AD54" s="381"/>
      <c r="AE54" s="381"/>
      <c r="AF54" s="381"/>
      <c r="AG54" s="381"/>
      <c r="AH54" s="381"/>
      <c r="AI54" s="382"/>
      <c r="AJ54" s="41" t="s">
        <v>210</v>
      </c>
      <c r="AK54" s="143"/>
      <c r="AL54" s="284"/>
      <c r="AS54" s="16"/>
    </row>
    <row r="55" spans="1:46">
      <c r="A55" s="101">
        <v>1</v>
      </c>
      <c r="B55" s="102" t="s">
        <v>16</v>
      </c>
      <c r="C55" s="27" t="s">
        <v>45</v>
      </c>
      <c r="D55" s="79">
        <f>AJ55/162*E55</f>
        <v>4248.1481481481478</v>
      </c>
      <c r="E55" s="28">
        <f>F47</f>
        <v>12</v>
      </c>
      <c r="F55" s="29">
        <v>1</v>
      </c>
      <c r="G55" s="80">
        <f>D55*F55/E55</f>
        <v>354.0123456790123</v>
      </c>
      <c r="H55" s="158">
        <f>T55</f>
        <v>8.0533999999999999</v>
      </c>
      <c r="I55" s="4"/>
      <c r="J55" s="264">
        <f>H55*G55</f>
        <v>2851.0030246913575</v>
      </c>
      <c r="K55" s="389"/>
      <c r="L55" s="64"/>
      <c r="M55" s="101">
        <v>1</v>
      </c>
      <c r="N55" s="102" t="s">
        <v>16</v>
      </c>
      <c r="O55" s="27" t="s">
        <v>45</v>
      </c>
      <c r="P55" s="79">
        <f>AJ55/162*Q55</f>
        <v>24426.851851851854</v>
      </c>
      <c r="Q55" s="28">
        <f>R47</f>
        <v>69</v>
      </c>
      <c r="R55" s="29">
        <v>1</v>
      </c>
      <c r="S55" s="80">
        <f>P55*R55/Q55</f>
        <v>354.01234567901236</v>
      </c>
      <c r="T55" s="158">
        <f>AF55</f>
        <v>8.0533999999999999</v>
      </c>
      <c r="U55" s="4"/>
      <c r="V55" s="264">
        <f>T55*S55</f>
        <v>2851.003024691358</v>
      </c>
      <c r="W55" s="421">
        <f>AL61</f>
        <v>0</v>
      </c>
      <c r="X55" s="76"/>
      <c r="Y55" s="101">
        <v>1</v>
      </c>
      <c r="Z55" s="102" t="s">
        <v>16</v>
      </c>
      <c r="AA55" s="27" t="s">
        <v>45</v>
      </c>
      <c r="AB55" s="79">
        <f>AJ55/162*AC55</f>
        <v>28675</v>
      </c>
      <c r="AC55" s="28">
        <f>AD41</f>
        <v>81</v>
      </c>
      <c r="AD55" s="29">
        <v>1</v>
      </c>
      <c r="AE55" s="80">
        <f>AB55*AD55/AC55</f>
        <v>354.01234567901236</v>
      </c>
      <c r="AF55" s="158">
        <v>8.0533999999999999</v>
      </c>
      <c r="AG55" s="4"/>
      <c r="AH55" s="264">
        <f>AF55*AE55</f>
        <v>2851.003024691358</v>
      </c>
      <c r="AI55" s="389"/>
      <c r="AJ55" s="223">
        <v>57350</v>
      </c>
      <c r="AK55" s="138">
        <f>AH55*AC55+V55*Q55+J55*E55</f>
        <v>461862.49</v>
      </c>
      <c r="AL55" s="155">
        <v>461862.49</v>
      </c>
      <c r="AM55" s="228">
        <f>AL55-AK55</f>
        <v>0</v>
      </c>
      <c r="AO55" s="216"/>
      <c r="AP55" s="216"/>
      <c r="AQ55" s="216"/>
      <c r="AR55" s="216"/>
      <c r="AS55" s="216"/>
      <c r="AT55" s="26"/>
    </row>
    <row r="56" spans="1:46">
      <c r="A56" s="101">
        <v>2</v>
      </c>
      <c r="B56" s="102" t="s">
        <v>13</v>
      </c>
      <c r="C56" s="27" t="s">
        <v>121</v>
      </c>
      <c r="D56" s="79">
        <f>AJ56/162*E56</f>
        <v>24.595407510241628</v>
      </c>
      <c r="E56" s="28">
        <f>E55</f>
        <v>12</v>
      </c>
      <c r="F56" s="29">
        <v>1</v>
      </c>
      <c r="G56" s="80">
        <f>D56*F56/E56</f>
        <v>2.0496172925201357</v>
      </c>
      <c r="H56" s="158">
        <f t="shared" ref="H56:H58" si="35">T56</f>
        <v>3299.09</v>
      </c>
      <c r="I56" s="4"/>
      <c r="J56" s="264">
        <f>H56*G56</f>
        <v>6761.8719135802548</v>
      </c>
      <c r="K56" s="390"/>
      <c r="L56" s="64"/>
      <c r="M56" s="101">
        <v>2</v>
      </c>
      <c r="N56" s="102" t="s">
        <v>13</v>
      </c>
      <c r="O56" s="27" t="s">
        <v>121</v>
      </c>
      <c r="P56" s="79">
        <f>AJ56/162*Q56</f>
        <v>141.42359318388935</v>
      </c>
      <c r="Q56" s="28">
        <f>Q55</f>
        <v>69</v>
      </c>
      <c r="R56" s="29">
        <v>1</v>
      </c>
      <c r="S56" s="80">
        <f>P56*R56/Q56</f>
        <v>2.0496172925201357</v>
      </c>
      <c r="T56" s="158">
        <f t="shared" ref="T56:T58" si="36">AF56</f>
        <v>3299.09</v>
      </c>
      <c r="U56" s="4"/>
      <c r="V56" s="264">
        <f>T56*S56</f>
        <v>6761.8719135802548</v>
      </c>
      <c r="W56" s="390"/>
      <c r="X56" s="76"/>
      <c r="Y56" s="101">
        <v>2</v>
      </c>
      <c r="Z56" s="102" t="s">
        <v>13</v>
      </c>
      <c r="AA56" s="27" t="s">
        <v>121</v>
      </c>
      <c r="AB56" s="79">
        <f>AJ56/162*AC56</f>
        <v>166.01900069413099</v>
      </c>
      <c r="AC56" s="28">
        <f>AC55</f>
        <v>81</v>
      </c>
      <c r="AD56" s="29">
        <v>1</v>
      </c>
      <c r="AE56" s="80">
        <f>AB56*AD56/AC56</f>
        <v>2.0496172925201357</v>
      </c>
      <c r="AF56" s="158">
        <v>3299.09</v>
      </c>
      <c r="AG56" s="4"/>
      <c r="AH56" s="264">
        <f>AF56*AE56</f>
        <v>6761.8719135802548</v>
      </c>
      <c r="AI56" s="390"/>
      <c r="AJ56" s="223">
        <v>332.03800138826199</v>
      </c>
      <c r="AK56" s="138">
        <f>AH56*AC56+V56*Q56+J56*E56</f>
        <v>1095423.2500000014</v>
      </c>
      <c r="AL56" s="155">
        <v>1095423.25</v>
      </c>
      <c r="AM56" s="228">
        <f t="shared" ref="AM56:AM59" si="37">AL56-AK56</f>
        <v>0</v>
      </c>
      <c r="AO56" s="216"/>
      <c r="AP56" s="216"/>
      <c r="AQ56" s="216"/>
      <c r="AR56" s="216"/>
      <c r="AS56" s="216"/>
      <c r="AT56" s="26"/>
    </row>
    <row r="57" spans="1:46">
      <c r="A57" s="101">
        <v>3</v>
      </c>
      <c r="B57" s="102" t="s">
        <v>14</v>
      </c>
      <c r="C57" s="27" t="s">
        <v>44</v>
      </c>
      <c r="D57" s="79">
        <f>AJ57/162*E57</f>
        <v>177.52481514938592</v>
      </c>
      <c r="E57" s="28">
        <f>E56</f>
        <v>12</v>
      </c>
      <c r="F57" s="29">
        <v>1</v>
      </c>
      <c r="G57" s="80">
        <f>D57*F57/E57</f>
        <v>14.79373459578216</v>
      </c>
      <c r="H57" s="158">
        <f t="shared" si="35"/>
        <v>110.75</v>
      </c>
      <c r="I57" s="4"/>
      <c r="J57" s="264">
        <f>H57*G57</f>
        <v>1638.4061064828743</v>
      </c>
      <c r="K57" s="390"/>
      <c r="L57" s="64"/>
      <c r="M57" s="101">
        <v>3</v>
      </c>
      <c r="N57" s="102" t="s">
        <v>14</v>
      </c>
      <c r="O57" s="27" t="s">
        <v>44</v>
      </c>
      <c r="P57" s="79">
        <f>AJ57/162*Q57</f>
        <v>1020.7676871089691</v>
      </c>
      <c r="Q57" s="28">
        <f>Q56</f>
        <v>69</v>
      </c>
      <c r="R57" s="29">
        <v>1</v>
      </c>
      <c r="S57" s="80">
        <f>P57*R57/Q57</f>
        <v>14.79373459578216</v>
      </c>
      <c r="T57" s="158">
        <f t="shared" si="36"/>
        <v>110.75</v>
      </c>
      <c r="U57" s="4"/>
      <c r="V57" s="264">
        <f>T57*S57</f>
        <v>1638.4061064828743</v>
      </c>
      <c r="W57" s="390"/>
      <c r="X57" s="76"/>
      <c r="Y57" s="101">
        <v>3</v>
      </c>
      <c r="Z57" s="102" t="s">
        <v>14</v>
      </c>
      <c r="AA57" s="27" t="s">
        <v>44</v>
      </c>
      <c r="AB57" s="79">
        <f>AJ57/162*AC57</f>
        <v>1198.2925022583549</v>
      </c>
      <c r="AC57" s="28">
        <f>AC56</f>
        <v>81</v>
      </c>
      <c r="AD57" s="29">
        <v>1</v>
      </c>
      <c r="AE57" s="80">
        <f>AB57*AD57/AC57</f>
        <v>14.79373459578216</v>
      </c>
      <c r="AF57" s="158">
        <v>110.75</v>
      </c>
      <c r="AG57" s="4"/>
      <c r="AH57" s="264">
        <f>AF57*AE57</f>
        <v>1638.4061064828743</v>
      </c>
      <c r="AI57" s="390"/>
      <c r="AJ57" s="223">
        <f>4793.17000903342/2</f>
        <v>2396.5850045167099</v>
      </c>
      <c r="AK57" s="138">
        <f>AH57*AC57+V57*Q57+J57*E57</f>
        <v>265421.78925022564</v>
      </c>
      <c r="AL57" s="155">
        <v>530603.92000000004</v>
      </c>
      <c r="AM57" s="228">
        <f>AL57-AK57-AK58</f>
        <v>4.6566128730773926E-10</v>
      </c>
      <c r="AO57" s="216"/>
      <c r="AP57" s="216"/>
      <c r="AQ57" s="216"/>
      <c r="AR57" s="216"/>
      <c r="AS57" s="216"/>
      <c r="AT57" s="26"/>
    </row>
    <row r="58" spans="1:46">
      <c r="A58" s="101">
        <v>4</v>
      </c>
      <c r="B58" s="102" t="s">
        <v>15</v>
      </c>
      <c r="C58" s="27" t="s">
        <v>44</v>
      </c>
      <c r="D58" s="79">
        <f>AJ58/162*E58</f>
        <v>177.52481514938592</v>
      </c>
      <c r="E58" s="28">
        <f>E57</f>
        <v>12</v>
      </c>
      <c r="F58" s="29">
        <v>1</v>
      </c>
      <c r="G58" s="80">
        <f>D58*F58/E58</f>
        <v>14.79373459578216</v>
      </c>
      <c r="H58" s="158">
        <f t="shared" si="35"/>
        <v>110.65</v>
      </c>
      <c r="I58" s="4"/>
      <c r="J58" s="264">
        <f>H58*G58</f>
        <v>1636.926733023296</v>
      </c>
      <c r="K58" s="390"/>
      <c r="L58" s="64"/>
      <c r="M58" s="101">
        <v>4</v>
      </c>
      <c r="N58" s="102" t="s">
        <v>15</v>
      </c>
      <c r="O58" s="27" t="s">
        <v>44</v>
      </c>
      <c r="P58" s="79">
        <f>AJ58/162*Q58</f>
        <v>1020.7676871089691</v>
      </c>
      <c r="Q58" s="28">
        <f>Q57</f>
        <v>69</v>
      </c>
      <c r="R58" s="29">
        <v>1</v>
      </c>
      <c r="S58" s="80">
        <f>P58*R58/Q58</f>
        <v>14.79373459578216</v>
      </c>
      <c r="T58" s="158">
        <f t="shared" si="36"/>
        <v>110.65</v>
      </c>
      <c r="U58" s="4"/>
      <c r="V58" s="264">
        <f>T58*S58</f>
        <v>1636.926733023296</v>
      </c>
      <c r="W58" s="390"/>
      <c r="X58" s="76"/>
      <c r="Y58" s="101">
        <v>4</v>
      </c>
      <c r="Z58" s="102" t="s">
        <v>15</v>
      </c>
      <c r="AA58" s="27" t="s">
        <v>44</v>
      </c>
      <c r="AB58" s="79">
        <f>AJ58/162*AC58</f>
        <v>1198.2925022583549</v>
      </c>
      <c r="AC58" s="28">
        <f>AC57</f>
        <v>81</v>
      </c>
      <c r="AD58" s="29">
        <v>1</v>
      </c>
      <c r="AE58" s="80">
        <f>AB58*AD58/AC58</f>
        <v>14.79373459578216</v>
      </c>
      <c r="AF58" s="158">
        <v>110.65</v>
      </c>
      <c r="AG58" s="4"/>
      <c r="AH58" s="264">
        <f>AF58*AE58</f>
        <v>1636.926733023296</v>
      </c>
      <c r="AI58" s="390"/>
      <c r="AJ58" s="223">
        <f>AJ57</f>
        <v>2396.5850045167099</v>
      </c>
      <c r="AK58" s="138">
        <f>AH58*AC58+V58*Q58+J58*E58</f>
        <v>265182.13074977393</v>
      </c>
      <c r="AL58" s="155"/>
      <c r="AM58" s="228"/>
      <c r="AO58" s="216"/>
      <c r="AP58" s="216"/>
      <c r="AQ58" s="216"/>
      <c r="AR58" s="216"/>
      <c r="AS58" s="216"/>
      <c r="AT58" s="26"/>
    </row>
    <row r="59" spans="1:46">
      <c r="A59" s="152">
        <f>M59</f>
        <v>5</v>
      </c>
      <c r="B59" s="318" t="str">
        <f t="shared" ref="B59:C59" si="38">N59</f>
        <v>ТКО</v>
      </c>
      <c r="C59" s="152" t="str">
        <f t="shared" si="38"/>
        <v>м3</v>
      </c>
      <c r="D59" s="79">
        <f>AJ59/162*E59</f>
        <v>1.5288886920055553</v>
      </c>
      <c r="E59" s="28">
        <f>E58</f>
        <v>12</v>
      </c>
      <c r="F59" s="29">
        <v>1</v>
      </c>
      <c r="G59" s="80">
        <f>D59*F59/E59</f>
        <v>0.12740739100046294</v>
      </c>
      <c r="H59" s="158">
        <f t="shared" ref="H59" si="39">T59</f>
        <v>2257.4</v>
      </c>
      <c r="I59" s="4"/>
      <c r="J59" s="264">
        <f>H59*G59</f>
        <v>287.60944444444505</v>
      </c>
      <c r="K59" s="390"/>
      <c r="L59" s="64"/>
      <c r="M59" s="101">
        <f>Y59</f>
        <v>5</v>
      </c>
      <c r="N59" s="318" t="str">
        <f t="shared" ref="N59:O59" si="40">Z59</f>
        <v>ТКО</v>
      </c>
      <c r="O59" s="152" t="str">
        <f t="shared" si="40"/>
        <v>м3</v>
      </c>
      <c r="P59" s="79">
        <f>AJ59/162*Q59</f>
        <v>8.791109979031944</v>
      </c>
      <c r="Q59" s="28">
        <f>Q58</f>
        <v>69</v>
      </c>
      <c r="R59" s="29">
        <v>1</v>
      </c>
      <c r="S59" s="80">
        <f>P59*R59/Q59</f>
        <v>0.12740739100046294</v>
      </c>
      <c r="T59" s="158">
        <f t="shared" ref="T59" si="41">AF59</f>
        <v>2257.4</v>
      </c>
      <c r="U59" s="4"/>
      <c r="V59" s="264">
        <f>T59*S59</f>
        <v>287.60944444444505</v>
      </c>
      <c r="W59" s="390"/>
      <c r="X59" s="76"/>
      <c r="Y59" s="101">
        <v>5</v>
      </c>
      <c r="Z59" s="157" t="s">
        <v>183</v>
      </c>
      <c r="AA59" s="27" t="s">
        <v>184</v>
      </c>
      <c r="AB59" s="79">
        <f>AJ59/162*AC59</f>
        <v>10.319998671037499</v>
      </c>
      <c r="AC59" s="28">
        <f>AC58</f>
        <v>81</v>
      </c>
      <c r="AD59" s="29">
        <v>1</v>
      </c>
      <c r="AE59" s="80">
        <f>AB59*AD59/AC59</f>
        <v>0.12740739100046294</v>
      </c>
      <c r="AF59" s="158">
        <v>2257.4</v>
      </c>
      <c r="AG59" s="4"/>
      <c r="AH59" s="264">
        <f>AF59*AE59</f>
        <v>287.60944444444505</v>
      </c>
      <c r="AI59" s="390"/>
      <c r="AJ59" s="223">
        <v>20.639997342074999</v>
      </c>
      <c r="AK59" s="138">
        <f>AH59*AC59+V59*Q59+J59*E59</f>
        <v>46592.730000000098</v>
      </c>
      <c r="AL59" s="155">
        <v>46592.73</v>
      </c>
      <c r="AM59" s="228">
        <f t="shared" si="37"/>
        <v>-9.4587448984384537E-11</v>
      </c>
      <c r="AO59" s="216"/>
      <c r="AP59" s="216"/>
      <c r="AQ59" s="216"/>
      <c r="AR59" s="216"/>
      <c r="AS59" s="216"/>
      <c r="AT59" s="26"/>
    </row>
    <row r="60" spans="1:46">
      <c r="A60" s="374" t="s">
        <v>25</v>
      </c>
      <c r="B60" s="375"/>
      <c r="C60" s="375"/>
      <c r="D60" s="375"/>
      <c r="E60" s="375"/>
      <c r="F60" s="375"/>
      <c r="G60" s="375"/>
      <c r="H60" s="375"/>
      <c r="I60" s="376"/>
      <c r="J60" s="265">
        <f>SUM(J55:J59)</f>
        <v>13175.817222222227</v>
      </c>
      <c r="K60" s="391"/>
      <c r="L60" s="64"/>
      <c r="M60" s="374" t="s">
        <v>25</v>
      </c>
      <c r="N60" s="375"/>
      <c r="O60" s="375"/>
      <c r="P60" s="375"/>
      <c r="Q60" s="375"/>
      <c r="R60" s="375"/>
      <c r="S60" s="375"/>
      <c r="T60" s="375"/>
      <c r="U60" s="376"/>
      <c r="V60" s="265">
        <f>SUM(V55:V59)</f>
        <v>13175.817222222227</v>
      </c>
      <c r="W60" s="391"/>
      <c r="X60" s="76"/>
      <c r="Y60" s="374" t="s">
        <v>25</v>
      </c>
      <c r="Z60" s="375"/>
      <c r="AA60" s="375"/>
      <c r="AB60" s="375"/>
      <c r="AC60" s="375"/>
      <c r="AD60" s="375"/>
      <c r="AE60" s="375"/>
      <c r="AF60" s="375"/>
      <c r="AG60" s="376"/>
      <c r="AH60" s="265">
        <f>SUM(AH55:AH59)</f>
        <v>13175.817222222227</v>
      </c>
      <c r="AI60" s="391"/>
      <c r="AJ60" s="42">
        <f>AH60*AC59+V60*Q59+J60*E59</f>
        <v>2134482.3900000011</v>
      </c>
      <c r="AK60" s="151">
        <f>SUM(AK55:AK59)</f>
        <v>2134482.3900000011</v>
      </c>
      <c r="AL60" s="231">
        <f>AG145</f>
        <v>2134482.39</v>
      </c>
      <c r="AM60" s="156"/>
      <c r="AO60" s="224"/>
      <c r="AP60" s="225"/>
      <c r="AQ60" s="226"/>
      <c r="AR60" s="226"/>
      <c r="AS60" s="216"/>
      <c r="AT60" s="26"/>
    </row>
    <row r="61" spans="1:46" ht="21.75" customHeight="1">
      <c r="A61" s="380" t="s">
        <v>63</v>
      </c>
      <c r="B61" s="381"/>
      <c r="C61" s="381"/>
      <c r="D61" s="381"/>
      <c r="E61" s="381"/>
      <c r="F61" s="381"/>
      <c r="G61" s="381"/>
      <c r="H61" s="381"/>
      <c r="I61" s="381"/>
      <c r="J61" s="381"/>
      <c r="K61" s="382"/>
      <c r="L61" s="63"/>
      <c r="M61" s="380" t="s">
        <v>63</v>
      </c>
      <c r="N61" s="381"/>
      <c r="O61" s="381"/>
      <c r="P61" s="381"/>
      <c r="Q61" s="381"/>
      <c r="R61" s="381"/>
      <c r="S61" s="381"/>
      <c r="T61" s="381"/>
      <c r="U61" s="381"/>
      <c r="V61" s="381"/>
      <c r="W61" s="382"/>
      <c r="X61" s="75"/>
      <c r="Y61" s="380" t="s">
        <v>63</v>
      </c>
      <c r="Z61" s="381"/>
      <c r="AA61" s="381"/>
      <c r="AB61" s="381"/>
      <c r="AC61" s="381"/>
      <c r="AD61" s="381"/>
      <c r="AE61" s="381"/>
      <c r="AF61" s="381"/>
      <c r="AG61" s="381"/>
      <c r="AH61" s="381"/>
      <c r="AI61" s="382"/>
      <c r="AJ61" s="154">
        <f>AK60-AJ60</f>
        <v>0</v>
      </c>
      <c r="AK61" s="138">
        <f>AL60-AK60</f>
        <v>0</v>
      </c>
      <c r="AL61" s="285"/>
      <c r="AO61" s="226"/>
      <c r="AP61" s="216"/>
      <c r="AQ61" s="216"/>
      <c r="AR61" s="216"/>
      <c r="AS61" s="216"/>
      <c r="AT61" s="26"/>
    </row>
    <row r="62" spans="1:46" ht="52.5">
      <c r="A62" s="101">
        <v>1</v>
      </c>
      <c r="B62" s="103" t="str">
        <f>N62</f>
        <v>Техническое обслуживание и регламентно-профилактический ремонт систем охранно-пожарной сигнализации</v>
      </c>
      <c r="C62" s="81" t="s">
        <v>48</v>
      </c>
      <c r="D62" s="82">
        <f>1/2/81*E62</f>
        <v>7.407407407407407E-2</v>
      </c>
      <c r="E62" s="28">
        <f>E58</f>
        <v>12</v>
      </c>
      <c r="F62" s="29">
        <v>1</v>
      </c>
      <c r="G62" s="48">
        <f t="shared" ref="G62:G67" si="42">D62*F62/E62</f>
        <v>6.1728395061728392E-3</v>
      </c>
      <c r="H62" s="158">
        <f>T62</f>
        <v>55450.2</v>
      </c>
      <c r="I62" s="4"/>
      <c r="J62" s="264">
        <f>H62*G62</f>
        <v>342.28518518518513</v>
      </c>
      <c r="K62" s="389"/>
      <c r="L62" s="64"/>
      <c r="M62" s="101">
        <v>1</v>
      </c>
      <c r="N62" s="103" t="str">
        <f>Z62</f>
        <v>Техническое обслуживание и регламентно-профилактический ремонт систем охранно-пожарной сигнализации</v>
      </c>
      <c r="O62" s="81" t="s">
        <v>48</v>
      </c>
      <c r="P62" s="82">
        <f>1/2/81*Q62</f>
        <v>0.42592592592592593</v>
      </c>
      <c r="Q62" s="28">
        <f>Q58</f>
        <v>69</v>
      </c>
      <c r="R62" s="29">
        <v>1</v>
      </c>
      <c r="S62" s="48">
        <f t="shared" ref="S62:S67" si="43">P62*R62/Q62</f>
        <v>6.1728395061728392E-3</v>
      </c>
      <c r="T62" s="158">
        <f>AF62</f>
        <v>55450.2</v>
      </c>
      <c r="U62" s="4"/>
      <c r="V62" s="264">
        <f>T62*S62</f>
        <v>342.28518518518513</v>
      </c>
      <c r="W62" s="389"/>
      <c r="X62" s="76"/>
      <c r="Y62" s="101">
        <v>1</v>
      </c>
      <c r="Z62" s="238" t="s">
        <v>212</v>
      </c>
      <c r="AA62" s="81" t="s">
        <v>48</v>
      </c>
      <c r="AB62" s="82">
        <f t="shared" ref="AB62:AB66" si="44">1/2</f>
        <v>0.5</v>
      </c>
      <c r="AC62" s="28">
        <f>AC58</f>
        <v>81</v>
      </c>
      <c r="AD62" s="29">
        <v>1</v>
      </c>
      <c r="AE62" s="48">
        <f t="shared" ref="AE62:AE67" si="45">AB62*AD62/AC62</f>
        <v>6.1728395061728392E-3</v>
      </c>
      <c r="AF62" s="158">
        <v>55450.2</v>
      </c>
      <c r="AG62" s="4"/>
      <c r="AH62" s="264">
        <f>AF62*AE62</f>
        <v>342.28518518518513</v>
      </c>
      <c r="AI62" s="389"/>
      <c r="AJ62" s="42">
        <f>AB62+P62+D62</f>
        <v>1</v>
      </c>
      <c r="AK62" s="138">
        <f>AH62*AC62+V62*Q62+J62*E62</f>
        <v>55450.19999999999</v>
      </c>
      <c r="AL62" s="240">
        <v>55450.2</v>
      </c>
      <c r="AM62" s="233">
        <f>AL62-AK62</f>
        <v>0</v>
      </c>
      <c r="AN62" s="122" t="s">
        <v>211</v>
      </c>
      <c r="AO62" s="24"/>
      <c r="AP62" s="26"/>
      <c r="AQ62" s="26"/>
      <c r="AR62" s="26"/>
    </row>
    <row r="63" spans="1:46">
      <c r="A63" s="101">
        <v>2</v>
      </c>
      <c r="B63" s="103" t="str">
        <f t="shared" ref="B63:B67" si="46">N63</f>
        <v>Проведение текущего ремонта</v>
      </c>
      <c r="C63" s="81" t="s">
        <v>48</v>
      </c>
      <c r="D63" s="82">
        <f>1/2/81*E63</f>
        <v>7.407407407407407E-2</v>
      </c>
      <c r="E63" s="28">
        <f t="shared" ref="E63:E67" si="47">E62</f>
        <v>12</v>
      </c>
      <c r="F63" s="29">
        <v>1</v>
      </c>
      <c r="G63" s="48">
        <f t="shared" si="42"/>
        <v>6.1728395061728392E-3</v>
      </c>
      <c r="H63" s="158">
        <f t="shared" ref="H63:H67" si="48">T63</f>
        <v>0</v>
      </c>
      <c r="I63" s="4"/>
      <c r="J63" s="264">
        <f t="shared" ref="J63:J67" si="49">H63*G63</f>
        <v>0</v>
      </c>
      <c r="K63" s="390"/>
      <c r="L63" s="64"/>
      <c r="M63" s="101">
        <v>2</v>
      </c>
      <c r="N63" s="103" t="str">
        <f t="shared" ref="N63:N67" si="50">Z63</f>
        <v>Проведение текущего ремонта</v>
      </c>
      <c r="O63" s="81" t="s">
        <v>48</v>
      </c>
      <c r="P63" s="82">
        <f>1/2/81*Q63</f>
        <v>0.42592592592592593</v>
      </c>
      <c r="Q63" s="28">
        <f t="shared" ref="Q63:Q66" si="51">Q62</f>
        <v>69</v>
      </c>
      <c r="R63" s="29">
        <v>1</v>
      </c>
      <c r="S63" s="48">
        <f t="shared" si="43"/>
        <v>6.1728395061728392E-3</v>
      </c>
      <c r="T63" s="158">
        <f t="shared" ref="T63:T67" si="52">AF63</f>
        <v>0</v>
      </c>
      <c r="U63" s="4"/>
      <c r="V63" s="264">
        <f t="shared" ref="V63:V67" si="53">T63*S63</f>
        <v>0</v>
      </c>
      <c r="W63" s="390"/>
      <c r="X63" s="76"/>
      <c r="Y63" s="101">
        <v>2</v>
      </c>
      <c r="Z63" s="103" t="s">
        <v>17</v>
      </c>
      <c r="AA63" s="81" t="s">
        <v>48</v>
      </c>
      <c r="AB63" s="82">
        <f t="shared" si="44"/>
        <v>0.5</v>
      </c>
      <c r="AC63" s="28">
        <f>AC62</f>
        <v>81</v>
      </c>
      <c r="AD63" s="29">
        <v>1</v>
      </c>
      <c r="AE63" s="48">
        <f t="shared" si="45"/>
        <v>6.1728395061728392E-3</v>
      </c>
      <c r="AF63" s="158">
        <v>0</v>
      </c>
      <c r="AG63" s="4"/>
      <c r="AH63" s="264">
        <f t="shared" ref="AH63:AH67" si="54">AF63*AE63</f>
        <v>0</v>
      </c>
      <c r="AI63" s="390"/>
      <c r="AJ63" s="42">
        <f t="shared" ref="AJ63:AJ67" si="55">AB63+P63+D63</f>
        <v>1</v>
      </c>
      <c r="AK63" s="162">
        <f t="shared" ref="AK63:AK67" si="56">AH63*AC63+V63*Q63+J63*E63</f>
        <v>0</v>
      </c>
      <c r="AL63" s="231">
        <f>AG146</f>
        <v>0</v>
      </c>
      <c r="AM63" s="233">
        <f>AL63-AK63</f>
        <v>0</v>
      </c>
      <c r="AN63" s="122" t="s">
        <v>186</v>
      </c>
      <c r="AO63" s="24"/>
      <c r="AP63" s="26"/>
      <c r="AQ63" s="26"/>
      <c r="AR63" s="26"/>
    </row>
    <row r="64" spans="1:46">
      <c r="A64" s="101">
        <v>3</v>
      </c>
      <c r="B64" s="103" t="str">
        <f t="shared" si="46"/>
        <v>Обслуживание тревожной кнопки</v>
      </c>
      <c r="C64" s="81" t="s">
        <v>48</v>
      </c>
      <c r="D64" s="82">
        <f>1/2/81*E64</f>
        <v>7.407407407407407E-2</v>
      </c>
      <c r="E64" s="28">
        <f t="shared" si="47"/>
        <v>12</v>
      </c>
      <c r="F64" s="29">
        <v>1</v>
      </c>
      <c r="G64" s="48">
        <f t="shared" si="42"/>
        <v>6.1728395061728392E-3</v>
      </c>
      <c r="H64" s="158">
        <f t="shared" si="48"/>
        <v>30000</v>
      </c>
      <c r="I64" s="4"/>
      <c r="J64" s="264">
        <f t="shared" si="49"/>
        <v>185.18518518518516</v>
      </c>
      <c r="K64" s="390"/>
      <c r="L64" s="64"/>
      <c r="M64" s="101">
        <v>3</v>
      </c>
      <c r="N64" s="103" t="str">
        <f t="shared" si="50"/>
        <v>Обслуживание тревожной кнопки</v>
      </c>
      <c r="O64" s="81" t="s">
        <v>48</v>
      </c>
      <c r="P64" s="82">
        <f>1/2/81*Q64</f>
        <v>0.42592592592592593</v>
      </c>
      <c r="Q64" s="28">
        <f t="shared" si="51"/>
        <v>69</v>
      </c>
      <c r="R64" s="29">
        <v>1</v>
      </c>
      <c r="S64" s="48">
        <f t="shared" si="43"/>
        <v>6.1728395061728392E-3</v>
      </c>
      <c r="T64" s="158">
        <f t="shared" si="52"/>
        <v>30000</v>
      </c>
      <c r="U64" s="4"/>
      <c r="V64" s="264">
        <f t="shared" si="53"/>
        <v>185.18518518518516</v>
      </c>
      <c r="W64" s="390"/>
      <c r="X64" s="76"/>
      <c r="Y64" s="101">
        <v>3</v>
      </c>
      <c r="Z64" s="103" t="s">
        <v>98</v>
      </c>
      <c r="AA64" s="81" t="s">
        <v>48</v>
      </c>
      <c r="AB64" s="82">
        <f t="shared" si="44"/>
        <v>0.5</v>
      </c>
      <c r="AC64" s="28">
        <f>AC62</f>
        <v>81</v>
      </c>
      <c r="AD64" s="29">
        <v>1</v>
      </c>
      <c r="AE64" s="48">
        <f t="shared" si="45"/>
        <v>6.1728395061728392E-3</v>
      </c>
      <c r="AF64" s="232">
        <v>30000</v>
      </c>
      <c r="AG64" s="4"/>
      <c r="AH64" s="264">
        <f t="shared" si="54"/>
        <v>185.18518518518516</v>
      </c>
      <c r="AI64" s="390"/>
      <c r="AJ64" s="42">
        <f t="shared" si="55"/>
        <v>1</v>
      </c>
      <c r="AK64" s="138">
        <f t="shared" si="56"/>
        <v>29999.999999999996</v>
      </c>
      <c r="AL64" s="155">
        <v>30000</v>
      </c>
      <c r="AM64" s="233">
        <f t="shared" ref="AM64:AM67" si="57">AL64-AK64</f>
        <v>0</v>
      </c>
      <c r="AN64" s="122" t="s">
        <v>211</v>
      </c>
      <c r="AO64" s="24"/>
      <c r="AP64" s="26"/>
      <c r="AQ64" s="26"/>
      <c r="AR64" s="26"/>
    </row>
    <row r="65" spans="1:46">
      <c r="A65" s="101">
        <v>4</v>
      </c>
      <c r="B65" s="103" t="str">
        <f t="shared" si="46"/>
        <v>Уборка территории от снега</v>
      </c>
      <c r="C65" s="81" t="s">
        <v>48</v>
      </c>
      <c r="D65" s="82">
        <f>1/2/81*E65</f>
        <v>7.407407407407407E-2</v>
      </c>
      <c r="E65" s="28">
        <f t="shared" si="47"/>
        <v>12</v>
      </c>
      <c r="F65" s="29">
        <v>1</v>
      </c>
      <c r="G65" s="48">
        <f t="shared" si="42"/>
        <v>6.1728395061728392E-3</v>
      </c>
      <c r="H65" s="158">
        <f t="shared" si="48"/>
        <v>250000</v>
      </c>
      <c r="I65" s="4"/>
      <c r="J65" s="264">
        <f t="shared" si="49"/>
        <v>1543.2098765432097</v>
      </c>
      <c r="K65" s="390"/>
      <c r="L65" s="64"/>
      <c r="M65" s="101">
        <v>4</v>
      </c>
      <c r="N65" s="103" t="str">
        <f t="shared" si="50"/>
        <v>Уборка территории от снега</v>
      </c>
      <c r="O65" s="81" t="s">
        <v>48</v>
      </c>
      <c r="P65" s="82">
        <f>1/2/81*Q65</f>
        <v>0.42592592592592593</v>
      </c>
      <c r="Q65" s="28">
        <f t="shared" si="51"/>
        <v>69</v>
      </c>
      <c r="R65" s="29">
        <v>1</v>
      </c>
      <c r="S65" s="48">
        <f t="shared" si="43"/>
        <v>6.1728395061728392E-3</v>
      </c>
      <c r="T65" s="158">
        <f t="shared" si="52"/>
        <v>250000</v>
      </c>
      <c r="U65" s="4"/>
      <c r="V65" s="264">
        <f t="shared" si="53"/>
        <v>1543.2098765432097</v>
      </c>
      <c r="W65" s="390"/>
      <c r="X65" s="76"/>
      <c r="Y65" s="101">
        <v>4</v>
      </c>
      <c r="Z65" s="103" t="s">
        <v>73</v>
      </c>
      <c r="AA65" s="81" t="s">
        <v>48</v>
      </c>
      <c r="AB65" s="82">
        <f t="shared" si="44"/>
        <v>0.5</v>
      </c>
      <c r="AC65" s="28">
        <f>AC62</f>
        <v>81</v>
      </c>
      <c r="AD65" s="29">
        <v>1</v>
      </c>
      <c r="AE65" s="48">
        <f t="shared" si="45"/>
        <v>6.1728395061728392E-3</v>
      </c>
      <c r="AF65" s="158">
        <v>250000</v>
      </c>
      <c r="AG65" s="4"/>
      <c r="AH65" s="264">
        <f t="shared" si="54"/>
        <v>1543.2098765432097</v>
      </c>
      <c r="AI65" s="390"/>
      <c r="AJ65" s="42">
        <f t="shared" si="55"/>
        <v>1</v>
      </c>
      <c r="AK65" s="138">
        <f t="shared" si="56"/>
        <v>249999.99999999997</v>
      </c>
      <c r="AL65" s="155">
        <v>250000</v>
      </c>
      <c r="AM65" s="233">
        <f t="shared" si="57"/>
        <v>0</v>
      </c>
      <c r="AN65" s="122" t="s">
        <v>211</v>
      </c>
      <c r="AO65" s="24"/>
      <c r="AP65" s="26"/>
      <c r="AQ65" s="26"/>
      <c r="AR65" s="26"/>
    </row>
    <row r="66" spans="1:46">
      <c r="A66" s="101">
        <v>6</v>
      </c>
      <c r="B66" s="103" t="str">
        <f t="shared" si="46"/>
        <v>Дератизация и дезинфекция</v>
      </c>
      <c r="C66" s="81" t="s">
        <v>48</v>
      </c>
      <c r="D66" s="82">
        <f>1/2/81*E66</f>
        <v>7.407407407407407E-2</v>
      </c>
      <c r="E66" s="28">
        <f t="shared" si="47"/>
        <v>12</v>
      </c>
      <c r="F66" s="29">
        <v>1</v>
      </c>
      <c r="G66" s="48">
        <f t="shared" si="42"/>
        <v>6.1728395061728392E-3</v>
      </c>
      <c r="H66" s="158">
        <f t="shared" si="48"/>
        <v>8449.31</v>
      </c>
      <c r="I66" s="4"/>
      <c r="J66" s="264">
        <f t="shared" si="49"/>
        <v>52.15623456790123</v>
      </c>
      <c r="K66" s="390"/>
      <c r="L66" s="64"/>
      <c r="M66" s="101">
        <v>5</v>
      </c>
      <c r="N66" s="103" t="str">
        <f t="shared" si="50"/>
        <v>Дератизация и дезинфекция</v>
      </c>
      <c r="O66" s="81" t="s">
        <v>48</v>
      </c>
      <c r="P66" s="82">
        <f>1/2/81*Q66</f>
        <v>0.42592592592592593</v>
      </c>
      <c r="Q66" s="28">
        <f t="shared" si="51"/>
        <v>69</v>
      </c>
      <c r="R66" s="29">
        <v>1</v>
      </c>
      <c r="S66" s="48">
        <f t="shared" si="43"/>
        <v>6.1728395061728392E-3</v>
      </c>
      <c r="T66" s="158">
        <f t="shared" si="52"/>
        <v>8449.31</v>
      </c>
      <c r="U66" s="4"/>
      <c r="V66" s="264">
        <f t="shared" si="53"/>
        <v>52.15623456790123</v>
      </c>
      <c r="W66" s="390"/>
      <c r="X66" s="76"/>
      <c r="Y66" s="101">
        <v>5</v>
      </c>
      <c r="Z66" s="103" t="s">
        <v>91</v>
      </c>
      <c r="AA66" s="81" t="s">
        <v>48</v>
      </c>
      <c r="AB66" s="82">
        <f t="shared" si="44"/>
        <v>0.5</v>
      </c>
      <c r="AC66" s="28">
        <f>AC62</f>
        <v>81</v>
      </c>
      <c r="AD66" s="29">
        <v>1</v>
      </c>
      <c r="AE66" s="48">
        <f t="shared" si="45"/>
        <v>6.1728395061728392E-3</v>
      </c>
      <c r="AF66" s="158">
        <v>8449.31</v>
      </c>
      <c r="AG66" s="4"/>
      <c r="AH66" s="264">
        <f t="shared" si="54"/>
        <v>52.15623456790123</v>
      </c>
      <c r="AI66" s="390"/>
      <c r="AJ66" s="42">
        <f t="shared" si="55"/>
        <v>1</v>
      </c>
      <c r="AK66" s="138">
        <f t="shared" si="56"/>
        <v>8449.31</v>
      </c>
      <c r="AL66" s="155">
        <v>8449.31</v>
      </c>
      <c r="AM66" s="233">
        <f t="shared" si="57"/>
        <v>0</v>
      </c>
      <c r="AN66" s="122" t="s">
        <v>211</v>
      </c>
      <c r="AO66" s="24"/>
      <c r="AP66" s="26"/>
      <c r="AQ66" s="26"/>
      <c r="AR66" s="26"/>
    </row>
    <row r="67" spans="1:46" ht="67.5" customHeight="1">
      <c r="A67" s="101">
        <v>8</v>
      </c>
      <c r="B67" s="103" t="str">
        <f t="shared" si="46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7" s="81" t="s">
        <v>48</v>
      </c>
      <c r="D67" s="82">
        <f>4/2/81*E67</f>
        <v>0.29629629629629628</v>
      </c>
      <c r="E67" s="28">
        <f t="shared" si="47"/>
        <v>12</v>
      </c>
      <c r="F67" s="29">
        <v>1</v>
      </c>
      <c r="G67" s="48">
        <f t="shared" si="42"/>
        <v>2.4691358024691357E-2</v>
      </c>
      <c r="H67" s="158">
        <f t="shared" si="48"/>
        <v>36250</v>
      </c>
      <c r="I67" s="4"/>
      <c r="J67" s="264">
        <f t="shared" si="49"/>
        <v>895.06172839506166</v>
      </c>
      <c r="K67" s="390"/>
      <c r="L67" s="64"/>
      <c r="M67" s="101">
        <v>6</v>
      </c>
      <c r="N67" s="103" t="str">
        <f t="shared" si="50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7" s="81" t="s">
        <v>48</v>
      </c>
      <c r="P67" s="82">
        <f>4/2/81*Q67</f>
        <v>1.7037037037037037</v>
      </c>
      <c r="Q67" s="28">
        <f>Q62</f>
        <v>69</v>
      </c>
      <c r="R67" s="29">
        <v>1</v>
      </c>
      <c r="S67" s="48">
        <f t="shared" si="43"/>
        <v>2.4691358024691357E-2</v>
      </c>
      <c r="T67" s="158">
        <f t="shared" si="52"/>
        <v>36250</v>
      </c>
      <c r="U67" s="4"/>
      <c r="V67" s="264">
        <f t="shared" si="53"/>
        <v>895.06172839506166</v>
      </c>
      <c r="W67" s="390"/>
      <c r="X67" s="76"/>
      <c r="Y67" s="101">
        <v>6</v>
      </c>
      <c r="Z67" s="239" t="s">
        <v>90</v>
      </c>
      <c r="AA67" s="81" t="s">
        <v>48</v>
      </c>
      <c r="AB67" s="82">
        <f>4/2</f>
        <v>2</v>
      </c>
      <c r="AC67" s="28">
        <f>AC62</f>
        <v>81</v>
      </c>
      <c r="AD67" s="29">
        <v>1</v>
      </c>
      <c r="AE67" s="48">
        <f t="shared" si="45"/>
        <v>2.4691358024691357E-2</v>
      </c>
      <c r="AF67" s="160">
        <v>36250</v>
      </c>
      <c r="AG67" s="4"/>
      <c r="AH67" s="264">
        <f t="shared" si="54"/>
        <v>895.06172839506166</v>
      </c>
      <c r="AI67" s="390"/>
      <c r="AJ67" s="42">
        <f t="shared" si="55"/>
        <v>4</v>
      </c>
      <c r="AK67" s="138">
        <f t="shared" si="56"/>
        <v>145000</v>
      </c>
      <c r="AL67" s="237">
        <f>20000+60000+25000+40000</f>
        <v>145000</v>
      </c>
      <c r="AM67" s="233">
        <f t="shared" si="57"/>
        <v>0</v>
      </c>
      <c r="AN67" s="122" t="s">
        <v>211</v>
      </c>
      <c r="AO67" s="24"/>
      <c r="AP67" s="26"/>
      <c r="AQ67" s="26"/>
      <c r="AR67" s="194"/>
    </row>
    <row r="68" spans="1:46">
      <c r="A68" s="374" t="s">
        <v>25</v>
      </c>
      <c r="B68" s="375"/>
      <c r="C68" s="375"/>
      <c r="D68" s="375"/>
      <c r="E68" s="375"/>
      <c r="F68" s="375"/>
      <c r="G68" s="375"/>
      <c r="H68" s="375"/>
      <c r="I68" s="376"/>
      <c r="J68" s="266">
        <f>SUM(J62:J67)</f>
        <v>3017.8982098765428</v>
      </c>
      <c r="K68" s="391"/>
      <c r="L68" s="64"/>
      <c r="M68" s="374" t="s">
        <v>25</v>
      </c>
      <c r="N68" s="375"/>
      <c r="O68" s="375"/>
      <c r="P68" s="375"/>
      <c r="Q68" s="375"/>
      <c r="R68" s="375"/>
      <c r="S68" s="375"/>
      <c r="T68" s="375"/>
      <c r="U68" s="376"/>
      <c r="V68" s="266">
        <f>SUM(V62:V67)</f>
        <v>3017.8982098765428</v>
      </c>
      <c r="W68" s="391"/>
      <c r="X68" s="76"/>
      <c r="Y68" s="374" t="s">
        <v>25</v>
      </c>
      <c r="Z68" s="375"/>
      <c r="AA68" s="375"/>
      <c r="AB68" s="375"/>
      <c r="AC68" s="375"/>
      <c r="AD68" s="375"/>
      <c r="AE68" s="375"/>
      <c r="AF68" s="375"/>
      <c r="AG68" s="376"/>
      <c r="AH68" s="266">
        <f>SUM(AH62:AH67)</f>
        <v>3017.8982098765428</v>
      </c>
      <c r="AI68" s="391"/>
      <c r="AJ68" s="42">
        <f>AH68*AC67+V68*Q66+J68*E66</f>
        <v>488899.50999999995</v>
      </c>
      <c r="AK68" s="159">
        <f>SUM(AK62:AK67)</f>
        <v>488899.50999999995</v>
      </c>
      <c r="AL68" s="231">
        <f>AG147+AG146</f>
        <v>488899.51</v>
      </c>
      <c r="AO68" s="234"/>
      <c r="AP68" s="235"/>
      <c r="AQ68" s="22"/>
      <c r="AR68" s="24"/>
    </row>
    <row r="69" spans="1:46" ht="18" customHeight="1">
      <c r="A69" s="380" t="s">
        <v>62</v>
      </c>
      <c r="B69" s="381"/>
      <c r="C69" s="381"/>
      <c r="D69" s="381"/>
      <c r="E69" s="381"/>
      <c r="F69" s="381"/>
      <c r="G69" s="381"/>
      <c r="H69" s="381"/>
      <c r="I69" s="381"/>
      <c r="J69" s="381"/>
      <c r="K69" s="382"/>
      <c r="L69" s="63"/>
      <c r="M69" s="380" t="s">
        <v>62</v>
      </c>
      <c r="N69" s="381"/>
      <c r="O69" s="381"/>
      <c r="P69" s="381"/>
      <c r="Q69" s="381"/>
      <c r="R69" s="381"/>
      <c r="S69" s="381"/>
      <c r="T69" s="381"/>
      <c r="U69" s="381"/>
      <c r="V69" s="381"/>
      <c r="W69" s="382"/>
      <c r="X69" s="75"/>
      <c r="Y69" s="380" t="s">
        <v>62</v>
      </c>
      <c r="Z69" s="381"/>
      <c r="AA69" s="381"/>
      <c r="AB69" s="381"/>
      <c r="AC69" s="381"/>
      <c r="AD69" s="381"/>
      <c r="AE69" s="381"/>
      <c r="AF69" s="381"/>
      <c r="AG69" s="381"/>
      <c r="AH69" s="381"/>
      <c r="AI69" s="382"/>
      <c r="AJ69" s="153">
        <f>AK68-AJ68</f>
        <v>0</v>
      </c>
      <c r="AK69" s="143">
        <f>AL68-AK68</f>
        <v>0</v>
      </c>
      <c r="AL69" s="284"/>
      <c r="AO69" s="26"/>
      <c r="AP69" s="236"/>
      <c r="AQ69" s="216"/>
      <c r="AR69" s="216"/>
    </row>
    <row r="70" spans="1:46">
      <c r="A70" s="374" t="s">
        <v>25</v>
      </c>
      <c r="B70" s="375"/>
      <c r="C70" s="375"/>
      <c r="D70" s="375"/>
      <c r="E70" s="375"/>
      <c r="F70" s="375"/>
      <c r="G70" s="375"/>
      <c r="H70" s="375"/>
      <c r="I70" s="376"/>
      <c r="J70" s="266">
        <v>0</v>
      </c>
      <c r="K70" s="71"/>
      <c r="L70" s="64"/>
      <c r="M70" s="374" t="s">
        <v>25</v>
      </c>
      <c r="N70" s="375"/>
      <c r="O70" s="375"/>
      <c r="P70" s="375"/>
      <c r="Q70" s="375"/>
      <c r="R70" s="375"/>
      <c r="S70" s="375"/>
      <c r="T70" s="375"/>
      <c r="U70" s="376"/>
      <c r="V70" s="266">
        <v>0</v>
      </c>
      <c r="W70" s="71"/>
      <c r="X70" s="76"/>
      <c r="Y70" s="374" t="s">
        <v>25</v>
      </c>
      <c r="Z70" s="375"/>
      <c r="AA70" s="375"/>
      <c r="AB70" s="375"/>
      <c r="AC70" s="375"/>
      <c r="AD70" s="375"/>
      <c r="AE70" s="375"/>
      <c r="AF70" s="375"/>
      <c r="AG70" s="376"/>
      <c r="AH70" s="266">
        <v>0</v>
      </c>
      <c r="AI70" s="71"/>
      <c r="AJ70" s="42"/>
      <c r="AK70" s="141"/>
      <c r="AL70" s="155"/>
      <c r="AO70" s="8"/>
    </row>
    <row r="71" spans="1:46" ht="17.25" customHeight="1">
      <c r="A71" s="380" t="s">
        <v>19</v>
      </c>
      <c r="B71" s="381"/>
      <c r="C71" s="381"/>
      <c r="D71" s="381"/>
      <c r="E71" s="381"/>
      <c r="F71" s="381"/>
      <c r="G71" s="381"/>
      <c r="H71" s="381"/>
      <c r="I71" s="381"/>
      <c r="J71" s="381"/>
      <c r="K71" s="382"/>
      <c r="L71" s="63"/>
      <c r="M71" s="380" t="s">
        <v>19</v>
      </c>
      <c r="N71" s="381"/>
      <c r="O71" s="381"/>
      <c r="P71" s="381"/>
      <c r="Q71" s="381"/>
      <c r="R71" s="381"/>
      <c r="S71" s="381"/>
      <c r="T71" s="381"/>
      <c r="U71" s="381"/>
      <c r="V71" s="381"/>
      <c r="W71" s="382"/>
      <c r="X71" s="75"/>
      <c r="Y71" s="380" t="s">
        <v>19</v>
      </c>
      <c r="Z71" s="381"/>
      <c r="AA71" s="381"/>
      <c r="AB71" s="381"/>
      <c r="AC71" s="381"/>
      <c r="AD71" s="381"/>
      <c r="AE71" s="381"/>
      <c r="AF71" s="381"/>
      <c r="AG71" s="381"/>
      <c r="AH71" s="381"/>
      <c r="AI71" s="382"/>
      <c r="AJ71" s="41"/>
      <c r="AK71" s="143"/>
      <c r="AL71" s="284">
        <v>221</v>
      </c>
      <c r="AO71" s="8"/>
    </row>
    <row r="72" spans="1:46" s="182" customFormat="1" ht="25.5">
      <c r="A72" s="293">
        <v>1</v>
      </c>
      <c r="B72" s="239" t="s">
        <v>20</v>
      </c>
      <c r="C72" s="294" t="s">
        <v>27</v>
      </c>
      <c r="D72" s="295">
        <f>1*0.5/81*E72</f>
        <v>7.407407407407407E-2</v>
      </c>
      <c r="E72" s="296">
        <f>E67</f>
        <v>12</v>
      </c>
      <c r="F72" s="297">
        <v>1</v>
      </c>
      <c r="G72" s="298">
        <f>D72*F72/E72</f>
        <v>6.1728395061728392E-3</v>
      </c>
      <c r="H72" s="299">
        <f>T72</f>
        <v>30925.439999999999</v>
      </c>
      <c r="I72" s="300"/>
      <c r="J72" s="301">
        <f>G72*H72</f>
        <v>190.89777777777775</v>
      </c>
      <c r="K72" s="389"/>
      <c r="L72" s="302"/>
      <c r="M72" s="293">
        <v>1</v>
      </c>
      <c r="N72" s="239" t="s">
        <v>20</v>
      </c>
      <c r="O72" s="294" t="s">
        <v>27</v>
      </c>
      <c r="P72" s="295">
        <f>1*0.5/81*Q72</f>
        <v>0.42592592592592593</v>
      </c>
      <c r="Q72" s="296">
        <f>Q67</f>
        <v>69</v>
      </c>
      <c r="R72" s="297">
        <v>1</v>
      </c>
      <c r="S72" s="298">
        <f>P72*R72/Q72</f>
        <v>6.1728395061728392E-3</v>
      </c>
      <c r="T72" s="299">
        <f>AF72</f>
        <v>30925.439999999999</v>
      </c>
      <c r="U72" s="300"/>
      <c r="V72" s="301">
        <f>S72*T72</f>
        <v>190.89777777777775</v>
      </c>
      <c r="W72" s="389"/>
      <c r="X72" s="303"/>
      <c r="Y72" s="293">
        <v>1</v>
      </c>
      <c r="Z72" s="239" t="s">
        <v>20</v>
      </c>
      <c r="AA72" s="294" t="s">
        <v>27</v>
      </c>
      <c r="AB72" s="173">
        <f>1*0.5</f>
        <v>0.5</v>
      </c>
      <c r="AC72" s="304">
        <f>AC67</f>
        <v>81</v>
      </c>
      <c r="AD72" s="305">
        <v>1</v>
      </c>
      <c r="AE72" s="306">
        <f>AB72*AD72/AC72</f>
        <v>6.1728395061728392E-3</v>
      </c>
      <c r="AF72" s="307">
        <v>30925.439999999999</v>
      </c>
      <c r="AG72" s="308"/>
      <c r="AH72" s="301">
        <f>AE72*AF72</f>
        <v>190.89777777777775</v>
      </c>
      <c r="AI72" s="389"/>
      <c r="AJ72" s="309">
        <f t="shared" ref="AJ72:AJ74" si="58">AB72+P72+D72</f>
        <v>1</v>
      </c>
      <c r="AK72" s="310">
        <f>AH72*AC72+V72*Q72+J72*E72</f>
        <v>30925.439999999999</v>
      </c>
      <c r="AL72" s="311">
        <v>30925.439999999999</v>
      </c>
      <c r="AM72" s="312">
        <f>AL72-AK72</f>
        <v>0</v>
      </c>
      <c r="AO72" s="313"/>
      <c r="AP72" s="211"/>
      <c r="AQ72" s="211"/>
      <c r="AR72" s="211"/>
      <c r="AS72" s="211"/>
    </row>
    <row r="73" spans="1:46" s="182" customFormat="1" ht="38.25">
      <c r="A73" s="293">
        <v>2</v>
      </c>
      <c r="B73" s="239" t="s">
        <v>22</v>
      </c>
      <c r="C73" s="294" t="s">
        <v>123</v>
      </c>
      <c r="D73" s="295">
        <f>1/81*E73</f>
        <v>0.14814814814814814</v>
      </c>
      <c r="E73" s="296">
        <f>E72</f>
        <v>12</v>
      </c>
      <c r="F73" s="297">
        <v>1</v>
      </c>
      <c r="G73" s="298">
        <f>D73*F73/E73</f>
        <v>1.2345679012345678E-2</v>
      </c>
      <c r="H73" s="299">
        <f t="shared" ref="H73:H74" si="59">T73</f>
        <v>110000</v>
      </c>
      <c r="I73" s="300"/>
      <c r="J73" s="301">
        <f>G73*H73</f>
        <v>1358.0246913580247</v>
      </c>
      <c r="K73" s="390"/>
      <c r="L73" s="302"/>
      <c r="M73" s="293">
        <v>2</v>
      </c>
      <c r="N73" s="239" t="s">
        <v>22</v>
      </c>
      <c r="O73" s="294" t="s">
        <v>123</v>
      </c>
      <c r="P73" s="295">
        <f>1/81*Q73</f>
        <v>0.85185185185185186</v>
      </c>
      <c r="Q73" s="296">
        <f>Q72</f>
        <v>69</v>
      </c>
      <c r="R73" s="297">
        <v>1</v>
      </c>
      <c r="S73" s="298">
        <f>P73*R73/Q73</f>
        <v>1.2345679012345678E-2</v>
      </c>
      <c r="T73" s="299">
        <f t="shared" ref="T73:T74" si="60">AF73</f>
        <v>110000</v>
      </c>
      <c r="U73" s="300"/>
      <c r="V73" s="301">
        <f>S73*T73</f>
        <v>1358.0246913580247</v>
      </c>
      <c r="W73" s="390"/>
      <c r="X73" s="303"/>
      <c r="Y73" s="293">
        <v>2</v>
      </c>
      <c r="Z73" s="239" t="s">
        <v>22</v>
      </c>
      <c r="AA73" s="294" t="s">
        <v>123</v>
      </c>
      <c r="AB73" s="173">
        <v>0</v>
      </c>
      <c r="AC73" s="304">
        <f>AC72</f>
        <v>81</v>
      </c>
      <c r="AD73" s="305">
        <v>1</v>
      </c>
      <c r="AE73" s="306">
        <f>AB73*AD73/AC73</f>
        <v>0</v>
      </c>
      <c r="AF73" s="307">
        <v>110000</v>
      </c>
      <c r="AG73" s="308"/>
      <c r="AH73" s="301">
        <f>AE73*AF73</f>
        <v>0</v>
      </c>
      <c r="AI73" s="390"/>
      <c r="AJ73" s="309">
        <f t="shared" si="58"/>
        <v>1</v>
      </c>
      <c r="AK73" s="310">
        <f>AH73*AC73+V73*Q73+J73*E73</f>
        <v>110000</v>
      </c>
      <c r="AL73" s="314">
        <f>60000+50000</f>
        <v>110000</v>
      </c>
      <c r="AM73" s="312">
        <f t="shared" ref="AM73:AM74" si="61">AL73-AK73</f>
        <v>0</v>
      </c>
      <c r="AN73" s="315" t="s">
        <v>213</v>
      </c>
      <c r="AO73" s="313"/>
      <c r="AP73" s="211"/>
      <c r="AQ73" s="211"/>
      <c r="AR73" s="211"/>
      <c r="AS73" s="211"/>
    </row>
    <row r="74" spans="1:46" s="182" customFormat="1" ht="38.25">
      <c r="A74" s="316">
        <v>3</v>
      </c>
      <c r="B74" s="239" t="s">
        <v>23</v>
      </c>
      <c r="C74" s="317" t="s">
        <v>75</v>
      </c>
      <c r="D74" s="295">
        <f>1*0.5/81*E74</f>
        <v>7.407407407407407E-2</v>
      </c>
      <c r="E74" s="296">
        <f>E72</f>
        <v>12</v>
      </c>
      <c r="F74" s="297">
        <v>1</v>
      </c>
      <c r="G74" s="298">
        <f>D74*F74/E74</f>
        <v>6.1728395061728392E-3</v>
      </c>
      <c r="H74" s="299">
        <f t="shared" si="59"/>
        <v>1000</v>
      </c>
      <c r="I74" s="300"/>
      <c r="J74" s="301">
        <f>G74*H74</f>
        <v>6.1728395061728394</v>
      </c>
      <c r="K74" s="390"/>
      <c r="L74" s="302"/>
      <c r="M74" s="316">
        <v>3</v>
      </c>
      <c r="N74" s="239" t="s">
        <v>23</v>
      </c>
      <c r="O74" s="317" t="s">
        <v>75</v>
      </c>
      <c r="P74" s="295">
        <f>1*0.5/81*Q74</f>
        <v>0.42592592592592593</v>
      </c>
      <c r="Q74" s="296">
        <f>Q72</f>
        <v>69</v>
      </c>
      <c r="R74" s="297">
        <v>1</v>
      </c>
      <c r="S74" s="298">
        <f>P74*R74/Q74</f>
        <v>6.1728395061728392E-3</v>
      </c>
      <c r="T74" s="299">
        <f t="shared" si="60"/>
        <v>1000</v>
      </c>
      <c r="U74" s="300"/>
      <c r="V74" s="301">
        <f>S74*T74</f>
        <v>6.1728395061728394</v>
      </c>
      <c r="W74" s="390"/>
      <c r="X74" s="303"/>
      <c r="Y74" s="316">
        <v>3</v>
      </c>
      <c r="Z74" s="239" t="s">
        <v>23</v>
      </c>
      <c r="AA74" s="317" t="s">
        <v>75</v>
      </c>
      <c r="AB74" s="173">
        <f>1*0.5</f>
        <v>0.5</v>
      </c>
      <c r="AC74" s="304">
        <f>AC72</f>
        <v>81</v>
      </c>
      <c r="AD74" s="305">
        <v>1</v>
      </c>
      <c r="AE74" s="306">
        <f>AB74*AD74/AC74</f>
        <v>6.1728395061728392E-3</v>
      </c>
      <c r="AF74" s="307">
        <v>1000</v>
      </c>
      <c r="AG74" s="308"/>
      <c r="AH74" s="301">
        <f>AE74*AF74</f>
        <v>6.1728395061728394</v>
      </c>
      <c r="AI74" s="390"/>
      <c r="AJ74" s="309">
        <f t="shared" si="58"/>
        <v>1</v>
      </c>
      <c r="AK74" s="310">
        <f>AH74*AC74+V74*Q74+J74*E74</f>
        <v>1000</v>
      </c>
      <c r="AL74" s="311">
        <v>1000</v>
      </c>
      <c r="AM74" s="312">
        <f t="shared" si="61"/>
        <v>0</v>
      </c>
      <c r="AO74" s="313"/>
      <c r="AP74" s="211"/>
      <c r="AQ74" s="211"/>
      <c r="AR74" s="211"/>
      <c r="AS74" s="211"/>
    </row>
    <row r="75" spans="1:46" ht="16.5" customHeight="1">
      <c r="A75" s="374" t="s">
        <v>25</v>
      </c>
      <c r="B75" s="375"/>
      <c r="C75" s="375"/>
      <c r="D75" s="375"/>
      <c r="E75" s="375"/>
      <c r="F75" s="375"/>
      <c r="G75" s="375"/>
      <c r="H75" s="375"/>
      <c r="I75" s="376"/>
      <c r="J75" s="266">
        <f>SUM(J72:J74)</f>
        <v>1555.0953086419752</v>
      </c>
      <c r="K75" s="391"/>
      <c r="L75" s="64"/>
      <c r="M75" s="374" t="s">
        <v>25</v>
      </c>
      <c r="N75" s="375"/>
      <c r="O75" s="375"/>
      <c r="P75" s="375"/>
      <c r="Q75" s="375"/>
      <c r="R75" s="375"/>
      <c r="S75" s="375"/>
      <c r="T75" s="375"/>
      <c r="U75" s="376"/>
      <c r="V75" s="266">
        <f>SUM(V72:V74)</f>
        <v>1555.0953086419752</v>
      </c>
      <c r="W75" s="391"/>
      <c r="X75" s="76"/>
      <c r="Y75" s="374" t="s">
        <v>25</v>
      </c>
      <c r="Z75" s="375"/>
      <c r="AA75" s="375"/>
      <c r="AB75" s="375"/>
      <c r="AC75" s="375"/>
      <c r="AD75" s="375"/>
      <c r="AE75" s="375"/>
      <c r="AF75" s="375"/>
      <c r="AG75" s="376"/>
      <c r="AH75" s="266">
        <f>SUM(AH72:AH74)</f>
        <v>197.07061728395058</v>
      </c>
      <c r="AI75" s="391"/>
      <c r="AJ75" s="42">
        <f>AH75*AC74+V75*Q74+J75*E73</f>
        <v>141925.44</v>
      </c>
      <c r="AK75" s="159">
        <f>AK74+AK72+AK73</f>
        <v>141925.44</v>
      </c>
      <c r="AL75" s="242">
        <f>AG143+AE143</f>
        <v>141925.44</v>
      </c>
      <c r="AM75" s="161"/>
      <c r="AO75" s="234"/>
      <c r="AP75" s="235"/>
      <c r="AQ75" s="241"/>
      <c r="AR75" s="24"/>
      <c r="AS75" s="26"/>
    </row>
    <row r="76" spans="1:46" ht="15" customHeight="1">
      <c r="A76" s="380" t="s">
        <v>24</v>
      </c>
      <c r="B76" s="381"/>
      <c r="C76" s="381"/>
      <c r="D76" s="381"/>
      <c r="E76" s="381"/>
      <c r="F76" s="381"/>
      <c r="G76" s="381"/>
      <c r="H76" s="381"/>
      <c r="I76" s="381"/>
      <c r="J76" s="381"/>
      <c r="K76" s="382"/>
      <c r="L76" s="63"/>
      <c r="M76" s="380" t="s">
        <v>24</v>
      </c>
      <c r="N76" s="381"/>
      <c r="O76" s="381"/>
      <c r="P76" s="381"/>
      <c r="Q76" s="381"/>
      <c r="R76" s="381"/>
      <c r="S76" s="381"/>
      <c r="T76" s="381"/>
      <c r="U76" s="381"/>
      <c r="V76" s="381"/>
      <c r="W76" s="382"/>
      <c r="X76" s="75"/>
      <c r="Y76" s="380" t="s">
        <v>24</v>
      </c>
      <c r="Z76" s="381"/>
      <c r="AA76" s="381"/>
      <c r="AB76" s="381"/>
      <c r="AC76" s="381"/>
      <c r="AD76" s="381"/>
      <c r="AE76" s="381"/>
      <c r="AF76" s="381"/>
      <c r="AG76" s="381"/>
      <c r="AH76" s="381"/>
      <c r="AI76" s="382"/>
      <c r="AJ76" s="41"/>
      <c r="AK76" s="143">
        <f>AL75-AK75</f>
        <v>0</v>
      </c>
      <c r="AL76" s="286" t="s">
        <v>214</v>
      </c>
      <c r="AO76" s="24"/>
      <c r="AP76" s="26"/>
      <c r="AQ76" s="26"/>
      <c r="AR76" s="26"/>
      <c r="AS76" s="26"/>
    </row>
    <row r="77" spans="1:46" ht="39.75">
      <c r="A77" s="101">
        <v>1</v>
      </c>
      <c r="B77" s="103" t="s">
        <v>74</v>
      </c>
      <c r="C77" s="49" t="s">
        <v>28</v>
      </c>
      <c r="D77" s="82">
        <f>2/81*E77</f>
        <v>0.29629629629629628</v>
      </c>
      <c r="E77" s="28">
        <f>E74</f>
        <v>12</v>
      </c>
      <c r="F77" s="29">
        <v>1</v>
      </c>
      <c r="G77" s="48">
        <f>D77*F77/E77</f>
        <v>2.4691358024691357E-2</v>
      </c>
      <c r="H77" s="158">
        <f>T77</f>
        <v>5000</v>
      </c>
      <c r="I77" s="4"/>
      <c r="J77" s="264">
        <f>G77*H77</f>
        <v>123.45679012345678</v>
      </c>
      <c r="K77" s="436"/>
      <c r="L77" s="64"/>
      <c r="M77" s="101">
        <v>1</v>
      </c>
      <c r="N77" s="103" t="s">
        <v>74</v>
      </c>
      <c r="O77" s="49" t="s">
        <v>28</v>
      </c>
      <c r="P77" s="82">
        <f>2/81*Q77</f>
        <v>1.7037037037037037</v>
      </c>
      <c r="Q77" s="28">
        <f>Q74</f>
        <v>69</v>
      </c>
      <c r="R77" s="29">
        <v>1</v>
      </c>
      <c r="S77" s="48">
        <f>P77*R77/Q77</f>
        <v>2.4691358024691357E-2</v>
      </c>
      <c r="T77" s="158">
        <f>AF77</f>
        <v>5000</v>
      </c>
      <c r="U77" s="4"/>
      <c r="V77" s="264">
        <f>S77*T77</f>
        <v>123.45679012345678</v>
      </c>
      <c r="W77" s="389"/>
      <c r="X77" s="76"/>
      <c r="Y77" s="101">
        <v>1</v>
      </c>
      <c r="Z77" s="103" t="s">
        <v>74</v>
      </c>
      <c r="AA77" s="49" t="s">
        <v>28</v>
      </c>
      <c r="AB77" s="110">
        <f>2*0.5</f>
        <v>1</v>
      </c>
      <c r="AC77" s="28">
        <f>AC74</f>
        <v>81</v>
      </c>
      <c r="AD77" s="29">
        <v>1</v>
      </c>
      <c r="AE77" s="48">
        <f>AB77*AD77/AC77</f>
        <v>1.2345679012345678E-2</v>
      </c>
      <c r="AF77" s="160">
        <v>5000</v>
      </c>
      <c r="AG77" s="4"/>
      <c r="AH77" s="264">
        <f>AE77*AF77</f>
        <v>61.728395061728392</v>
      </c>
      <c r="AI77" s="389"/>
      <c r="AJ77" s="42">
        <f>AB77+P77+D77</f>
        <v>3</v>
      </c>
      <c r="AK77" s="138">
        <f>AH77*AC77+V77*Q77+J77*E77</f>
        <v>15000</v>
      </c>
      <c r="AL77" s="155">
        <v>15000</v>
      </c>
      <c r="AM77" s="156">
        <f>AL77-AK77</f>
        <v>0</v>
      </c>
      <c r="AO77" s="24"/>
      <c r="AP77" s="26"/>
      <c r="AQ77" s="26"/>
      <c r="AR77" s="26"/>
      <c r="AS77" s="26"/>
      <c r="AT77" s="26"/>
    </row>
    <row r="78" spans="1:46">
      <c r="A78" s="374" t="s">
        <v>25</v>
      </c>
      <c r="B78" s="375"/>
      <c r="C78" s="375"/>
      <c r="D78" s="375"/>
      <c r="E78" s="375"/>
      <c r="F78" s="375"/>
      <c r="G78" s="375"/>
      <c r="H78" s="375"/>
      <c r="I78" s="376"/>
      <c r="J78" s="266">
        <f>SUM(J77:J77)</f>
        <v>123.45679012345678</v>
      </c>
      <c r="K78" s="391"/>
      <c r="L78" s="64"/>
      <c r="M78" s="374" t="s">
        <v>25</v>
      </c>
      <c r="N78" s="375"/>
      <c r="O78" s="375"/>
      <c r="P78" s="375"/>
      <c r="Q78" s="375"/>
      <c r="R78" s="375"/>
      <c r="S78" s="375"/>
      <c r="T78" s="375"/>
      <c r="U78" s="376"/>
      <c r="V78" s="266">
        <f>SUM(V77:V77)</f>
        <v>123.45679012345678</v>
      </c>
      <c r="W78" s="391"/>
      <c r="X78" s="76"/>
      <c r="Y78" s="374" t="s">
        <v>25</v>
      </c>
      <c r="Z78" s="375"/>
      <c r="AA78" s="375"/>
      <c r="AB78" s="375"/>
      <c r="AC78" s="375"/>
      <c r="AD78" s="375"/>
      <c r="AE78" s="375"/>
      <c r="AF78" s="375"/>
      <c r="AG78" s="376"/>
      <c r="AH78" s="266">
        <f>SUM(AH77:AH77)</f>
        <v>61.728395061728392</v>
      </c>
      <c r="AI78" s="391"/>
      <c r="AJ78" s="42">
        <f>AH78*AC77+V78*Q77+J78*E77</f>
        <v>15000</v>
      </c>
      <c r="AK78" s="159">
        <f>AK77</f>
        <v>15000</v>
      </c>
      <c r="AL78" s="231">
        <f>AG144</f>
        <v>15000</v>
      </c>
      <c r="AO78" s="234"/>
      <c r="AP78" s="235"/>
      <c r="AQ78" s="241"/>
      <c r="AR78" s="22"/>
      <c r="AS78" s="26"/>
      <c r="AT78" s="26"/>
    </row>
    <row r="79" spans="1:46" ht="15" customHeight="1">
      <c r="A79" s="377" t="s">
        <v>61</v>
      </c>
      <c r="B79" s="378"/>
      <c r="C79" s="378"/>
      <c r="D79" s="378"/>
      <c r="E79" s="378"/>
      <c r="F79" s="378"/>
      <c r="G79" s="378"/>
      <c r="H79" s="378"/>
      <c r="I79" s="378"/>
      <c r="J79" s="378"/>
      <c r="K79" s="379"/>
      <c r="L79" s="63"/>
      <c r="M79" s="377" t="s">
        <v>61</v>
      </c>
      <c r="N79" s="378"/>
      <c r="O79" s="378"/>
      <c r="P79" s="378"/>
      <c r="Q79" s="378"/>
      <c r="R79" s="378"/>
      <c r="S79" s="378"/>
      <c r="T79" s="378"/>
      <c r="U79" s="378"/>
      <c r="V79" s="378"/>
      <c r="W79" s="379"/>
      <c r="X79" s="75"/>
      <c r="Y79" s="377" t="s">
        <v>61</v>
      </c>
      <c r="Z79" s="378"/>
      <c r="AA79" s="378"/>
      <c r="AB79" s="378"/>
      <c r="AC79" s="378"/>
      <c r="AD79" s="378"/>
      <c r="AE79" s="378"/>
      <c r="AF79" s="378"/>
      <c r="AG79" s="378"/>
      <c r="AH79" s="378"/>
      <c r="AI79" s="379"/>
      <c r="AJ79" s="41"/>
      <c r="AK79" s="143">
        <f>AL78-AK78</f>
        <v>0</v>
      </c>
      <c r="AL79" s="284"/>
      <c r="AO79" s="24"/>
      <c r="AP79" s="26"/>
      <c r="AQ79" s="26"/>
      <c r="AR79" s="26"/>
      <c r="AS79" s="26"/>
      <c r="AT79" s="26"/>
    </row>
    <row r="80" spans="1:46" ht="29.25" customHeight="1">
      <c r="A80" s="101">
        <v>1</v>
      </c>
      <c r="B80" s="104" t="s">
        <v>124</v>
      </c>
      <c r="C80" s="49" t="s">
        <v>29</v>
      </c>
      <c r="D80" s="109">
        <f>1/2/81*E80</f>
        <v>7.407407407407407E-2</v>
      </c>
      <c r="E80" s="28">
        <f>E77</f>
        <v>12</v>
      </c>
      <c r="F80" s="29">
        <v>1</v>
      </c>
      <c r="G80" s="48">
        <f t="shared" ref="G80:G85" si="62">D80*F80/E80</f>
        <v>6.1728395061728392E-3</v>
      </c>
      <c r="H80" s="254">
        <f>T80</f>
        <v>902285.80000000389</v>
      </c>
      <c r="I80" s="4"/>
      <c r="J80" s="264">
        <f t="shared" ref="J80:J85" si="63">G80*H80</f>
        <v>5569.6654320987891</v>
      </c>
      <c r="K80" s="389"/>
      <c r="L80" s="64"/>
      <c r="M80" s="101">
        <v>1</v>
      </c>
      <c r="N80" s="104" t="s">
        <v>124</v>
      </c>
      <c r="O80" s="49" t="s">
        <v>29</v>
      </c>
      <c r="P80" s="109">
        <f>1/2/81*Q80</f>
        <v>0.42592592592592593</v>
      </c>
      <c r="Q80" s="28">
        <f>Q77</f>
        <v>69</v>
      </c>
      <c r="R80" s="29">
        <v>1</v>
      </c>
      <c r="S80" s="48">
        <f t="shared" ref="S80:S85" si="64">P80*R80/Q80</f>
        <v>6.1728395061728392E-3</v>
      </c>
      <c r="T80" s="254">
        <f>AF80</f>
        <v>902285.80000000389</v>
      </c>
      <c r="U80" s="4"/>
      <c r="V80" s="264">
        <f t="shared" ref="V80:V85" si="65">S80*T80</f>
        <v>5569.6654320987891</v>
      </c>
      <c r="W80" s="389"/>
      <c r="X80" s="76"/>
      <c r="Y80" s="101">
        <v>1</v>
      </c>
      <c r="Z80" s="115" t="s">
        <v>124</v>
      </c>
      <c r="AA80" s="49" t="s">
        <v>29</v>
      </c>
      <c r="AB80" s="83">
        <f>1/2</f>
        <v>0.5</v>
      </c>
      <c r="AC80" s="28">
        <f>AC77</f>
        <v>81</v>
      </c>
      <c r="AD80" s="29">
        <v>1</v>
      </c>
      <c r="AE80" s="48">
        <f>AB80*AD80/AC80</f>
        <v>6.1728395061728392E-3</v>
      </c>
      <c r="AF80" s="254">
        <f>(57749.987199181)*1.302*12</f>
        <v>902285.80000000389</v>
      </c>
      <c r="AG80" s="4"/>
      <c r="AH80" s="264">
        <f>AE80*AF80</f>
        <v>5569.6654320987891</v>
      </c>
      <c r="AI80" s="389"/>
      <c r="AJ80" s="42">
        <f t="shared" ref="AJ80:AJ89" si="66">AB80+P80+D80</f>
        <v>1</v>
      </c>
      <c r="AK80" s="144">
        <f>AH80*AC80+V80*Q80+J80*E80</f>
        <v>902285.80000000377</v>
      </c>
      <c r="AL80" s="155"/>
      <c r="AM80" s="156"/>
      <c r="AO80" s="243"/>
      <c r="AP80" s="15"/>
      <c r="AQ80" s="215"/>
      <c r="AR80" s="215"/>
    </row>
    <row r="81" spans="1:50" ht="27">
      <c r="A81" s="101">
        <v>2</v>
      </c>
      <c r="B81" s="104" t="s">
        <v>125</v>
      </c>
      <c r="C81" s="49" t="s">
        <v>29</v>
      </c>
      <c r="D81" s="109">
        <f>1/2/81*E81</f>
        <v>7.407407407407407E-2</v>
      </c>
      <c r="E81" s="28">
        <f>E80</f>
        <v>12</v>
      </c>
      <c r="F81" s="29">
        <v>1</v>
      </c>
      <c r="G81" s="48">
        <f t="shared" si="62"/>
        <v>6.1728395061728392E-3</v>
      </c>
      <c r="H81" s="254">
        <f t="shared" ref="H81:H82" si="67">T81</f>
        <v>484344</v>
      </c>
      <c r="I81" s="4"/>
      <c r="J81" s="264">
        <f t="shared" si="63"/>
        <v>2989.7777777777778</v>
      </c>
      <c r="K81" s="390"/>
      <c r="L81" s="64"/>
      <c r="M81" s="101">
        <v>2</v>
      </c>
      <c r="N81" s="104" t="s">
        <v>125</v>
      </c>
      <c r="O81" s="49" t="s">
        <v>29</v>
      </c>
      <c r="P81" s="109">
        <f>1/2/81*Q81</f>
        <v>0.42592592592592593</v>
      </c>
      <c r="Q81" s="28">
        <f>Q80</f>
        <v>69</v>
      </c>
      <c r="R81" s="29">
        <v>1</v>
      </c>
      <c r="S81" s="48">
        <f t="shared" si="64"/>
        <v>6.1728395061728392E-3</v>
      </c>
      <c r="T81" s="254">
        <f t="shared" ref="T81:T82" si="68">AF81</f>
        <v>484344</v>
      </c>
      <c r="U81" s="4"/>
      <c r="V81" s="264">
        <f t="shared" si="65"/>
        <v>2989.7777777777778</v>
      </c>
      <c r="W81" s="390"/>
      <c r="X81" s="76"/>
      <c r="Y81" s="101">
        <v>2</v>
      </c>
      <c r="Z81" s="115" t="s">
        <v>125</v>
      </c>
      <c r="AA81" s="49" t="s">
        <v>29</v>
      </c>
      <c r="AB81" s="83">
        <f>1/2</f>
        <v>0.5</v>
      </c>
      <c r="AC81" s="28">
        <f>AC80</f>
        <v>81</v>
      </c>
      <c r="AD81" s="29">
        <v>1</v>
      </c>
      <c r="AE81" s="48">
        <f>AB81*AD81/AC81</f>
        <v>6.1728395061728392E-3</v>
      </c>
      <c r="AF81" s="254">
        <f>(31000)*1.302*12</f>
        <v>484344</v>
      </c>
      <c r="AG81" s="4"/>
      <c r="AH81" s="264">
        <f>AE81*AF81</f>
        <v>2989.7777777777778</v>
      </c>
      <c r="AI81" s="390"/>
      <c r="AJ81" s="42">
        <f t="shared" si="66"/>
        <v>1</v>
      </c>
      <c r="AK81" s="144">
        <f>AH81*AC81+V81*Q81+J81*E81</f>
        <v>484343.99999999994</v>
      </c>
      <c r="AL81" s="155"/>
      <c r="AM81" s="245">
        <f>AM82-AL82</f>
        <v>0</v>
      </c>
      <c r="AO81" s="243"/>
      <c r="AP81" s="15"/>
      <c r="AQ81" s="215"/>
      <c r="AR81" s="215"/>
    </row>
    <row r="82" spans="1:50" ht="27">
      <c r="A82" s="101">
        <v>3</v>
      </c>
      <c r="B82" s="104" t="s">
        <v>92</v>
      </c>
      <c r="C82" s="49" t="s">
        <v>29</v>
      </c>
      <c r="D82" s="109">
        <f>0.25/81*E82</f>
        <v>3.7037037037037035E-2</v>
      </c>
      <c r="E82" s="28">
        <f>E80</f>
        <v>12</v>
      </c>
      <c r="F82" s="29">
        <v>1</v>
      </c>
      <c r="G82" s="48">
        <f t="shared" si="62"/>
        <v>3.0864197530864196E-3</v>
      </c>
      <c r="H82" s="254">
        <f t="shared" si="67"/>
        <v>484344</v>
      </c>
      <c r="I82" s="4"/>
      <c r="J82" s="264">
        <f t="shared" si="63"/>
        <v>1494.8888888888889</v>
      </c>
      <c r="K82" s="390"/>
      <c r="L82" s="64"/>
      <c r="M82" s="101">
        <v>3</v>
      </c>
      <c r="N82" s="104" t="s">
        <v>92</v>
      </c>
      <c r="O82" s="49" t="s">
        <v>29</v>
      </c>
      <c r="P82" s="109">
        <f>0.25/81*Q82</f>
        <v>0.21296296296296297</v>
      </c>
      <c r="Q82" s="28">
        <f>Q80</f>
        <v>69</v>
      </c>
      <c r="R82" s="29">
        <v>1</v>
      </c>
      <c r="S82" s="48">
        <f t="shared" si="64"/>
        <v>3.0864197530864196E-3</v>
      </c>
      <c r="T82" s="254">
        <f t="shared" si="68"/>
        <v>484344</v>
      </c>
      <c r="U82" s="4"/>
      <c r="V82" s="264">
        <f t="shared" si="65"/>
        <v>1494.8888888888889</v>
      </c>
      <c r="W82" s="390"/>
      <c r="X82" s="76"/>
      <c r="Y82" s="101">
        <v>3</v>
      </c>
      <c r="Z82" s="115" t="s">
        <v>92</v>
      </c>
      <c r="AA82" s="49" t="s">
        <v>29</v>
      </c>
      <c r="AB82" s="83">
        <f>0.5/2</f>
        <v>0.25</v>
      </c>
      <c r="AC82" s="28">
        <f>AC80</f>
        <v>81</v>
      </c>
      <c r="AD82" s="29">
        <v>1</v>
      </c>
      <c r="AE82" s="48">
        <f>AB82*AD82/AC82</f>
        <v>3.0864197530864196E-3</v>
      </c>
      <c r="AF82" s="254">
        <f>(31000)*1.302*12</f>
        <v>484344</v>
      </c>
      <c r="AG82" s="4"/>
      <c r="AH82" s="264">
        <f>AE82*AF82</f>
        <v>1494.8888888888889</v>
      </c>
      <c r="AI82" s="390"/>
      <c r="AJ82" s="42">
        <f t="shared" si="66"/>
        <v>0.5</v>
      </c>
      <c r="AK82" s="144">
        <f t="shared" ref="AK82:AK88" si="69">AH82*AC82+V82*Q82+J82*E82</f>
        <v>242171.99999999997</v>
      </c>
      <c r="AL82" s="155">
        <f>AK80+AK81+AK82+AL8</f>
        <v>4675481.8000000035</v>
      </c>
      <c r="AM82" s="242">
        <f>AE140</f>
        <v>4675481.8</v>
      </c>
      <c r="AN82" s="161">
        <v>74080</v>
      </c>
      <c r="AO82" s="243"/>
      <c r="AP82" s="15"/>
      <c r="AQ82" s="215"/>
      <c r="AR82" s="215"/>
    </row>
    <row r="83" spans="1:50" ht="30">
      <c r="A83" s="101">
        <v>4</v>
      </c>
      <c r="B83" s="104" t="s">
        <v>46</v>
      </c>
      <c r="C83" s="49" t="s">
        <v>29</v>
      </c>
      <c r="D83" s="109">
        <f>1/81*E83</f>
        <v>0.14814814814814814</v>
      </c>
      <c r="E83" s="28">
        <f>E80</f>
        <v>12</v>
      </c>
      <c r="F83" s="29">
        <v>1</v>
      </c>
      <c r="G83" s="48">
        <f t="shared" si="62"/>
        <v>1.2345679012345678E-2</v>
      </c>
      <c r="H83" s="254">
        <f>T83</f>
        <v>441342.68976000004</v>
      </c>
      <c r="I83" s="4"/>
      <c r="J83" s="264">
        <f t="shared" si="63"/>
        <v>5448.6751822222222</v>
      </c>
      <c r="K83" s="390"/>
      <c r="L83" s="64"/>
      <c r="M83" s="101">
        <v>4</v>
      </c>
      <c r="N83" s="104" t="s">
        <v>46</v>
      </c>
      <c r="O83" s="49" t="s">
        <v>29</v>
      </c>
      <c r="P83" s="109">
        <f>1/81*Q83</f>
        <v>0.85185185185185186</v>
      </c>
      <c r="Q83" s="28">
        <f>Q80</f>
        <v>69</v>
      </c>
      <c r="R83" s="29">
        <v>1</v>
      </c>
      <c r="S83" s="48">
        <f t="shared" si="64"/>
        <v>1.2345679012345678E-2</v>
      </c>
      <c r="T83" s="254">
        <f>AF83</f>
        <v>441342.68976000004</v>
      </c>
      <c r="U83" s="4"/>
      <c r="V83" s="264">
        <f t="shared" si="65"/>
        <v>5448.6751822222222</v>
      </c>
      <c r="W83" s="390"/>
      <c r="X83" s="76"/>
      <c r="Y83" s="101">
        <v>4</v>
      </c>
      <c r="Z83" s="115" t="s">
        <v>46</v>
      </c>
      <c r="AA83" s="49" t="s">
        <v>29</v>
      </c>
      <c r="AB83" s="83">
        <v>1</v>
      </c>
      <c r="AC83" s="28">
        <f>AC80</f>
        <v>81</v>
      </c>
      <c r="AD83" s="29">
        <v>1</v>
      </c>
      <c r="AE83" s="48">
        <f>AB83*AD83/AC83</f>
        <v>1.2345679012345678E-2</v>
      </c>
      <c r="AF83" s="254">
        <f>(56495.48)*1.302/2*12</f>
        <v>441342.68976000004</v>
      </c>
      <c r="AG83" s="4"/>
      <c r="AH83" s="264">
        <f>AE83*AF83</f>
        <v>5448.6751822222222</v>
      </c>
      <c r="AI83" s="390"/>
      <c r="AJ83" s="292">
        <f t="shared" si="66"/>
        <v>2</v>
      </c>
      <c r="AK83" s="138">
        <f>AH83*AC83+V83*Q83+J83*E83</f>
        <v>882685.37952000007</v>
      </c>
      <c r="AL83" s="155">
        <f>SUM(AK83:AK89)</f>
        <v>5296111.810000007</v>
      </c>
      <c r="AM83" s="246">
        <f>AG140</f>
        <v>5296111.8100000005</v>
      </c>
      <c r="AN83" s="161">
        <v>18800</v>
      </c>
      <c r="AO83" s="24"/>
      <c r="AP83" s="26"/>
      <c r="AQ83" s="216"/>
      <c r="AR83" s="216"/>
      <c r="AS83" s="26"/>
      <c r="AT83" s="26"/>
    </row>
    <row r="84" spans="1:50" ht="27">
      <c r="A84" s="107">
        <v>5</v>
      </c>
      <c r="B84" s="105" t="s">
        <v>155</v>
      </c>
      <c r="C84" s="49" t="s">
        <v>29</v>
      </c>
      <c r="D84" s="109">
        <f>3*0.5/81*E84</f>
        <v>0.22222222222222221</v>
      </c>
      <c r="E84" s="28">
        <f>E80</f>
        <v>12</v>
      </c>
      <c r="F84" s="29">
        <v>1</v>
      </c>
      <c r="G84" s="48">
        <f t="shared" si="62"/>
        <v>1.8518518518518517E-2</v>
      </c>
      <c r="H84" s="254">
        <f t="shared" ref="H84:H85" si="70">T84</f>
        <v>441342.68976000004</v>
      </c>
      <c r="I84" s="4"/>
      <c r="J84" s="264">
        <f t="shared" si="63"/>
        <v>8173.0127733333338</v>
      </c>
      <c r="K84" s="390"/>
      <c r="L84" s="64"/>
      <c r="M84" s="107">
        <v>5</v>
      </c>
      <c r="N84" s="105" t="s">
        <v>155</v>
      </c>
      <c r="O84" s="49" t="s">
        <v>29</v>
      </c>
      <c r="P84" s="109">
        <f>3*0.5/81*Q84</f>
        <v>1.2777777777777777</v>
      </c>
      <c r="Q84" s="28">
        <f>Q80</f>
        <v>69</v>
      </c>
      <c r="R84" s="29">
        <v>1</v>
      </c>
      <c r="S84" s="48">
        <f t="shared" si="64"/>
        <v>1.8518518518518517E-2</v>
      </c>
      <c r="T84" s="254">
        <f>AF84</f>
        <v>441342.68976000004</v>
      </c>
      <c r="U84" s="4"/>
      <c r="V84" s="264">
        <f t="shared" si="65"/>
        <v>8173.0127733333338</v>
      </c>
      <c r="W84" s="390"/>
      <c r="X84" s="76"/>
      <c r="Y84" s="107">
        <v>5</v>
      </c>
      <c r="Z84" s="116" t="s">
        <v>155</v>
      </c>
      <c r="AA84" s="49" t="s">
        <v>29</v>
      </c>
      <c r="AB84" s="83">
        <f>3*0.5</f>
        <v>1.5</v>
      </c>
      <c r="AC84" s="28">
        <f>AC80</f>
        <v>81</v>
      </c>
      <c r="AD84" s="29">
        <v>1</v>
      </c>
      <c r="AE84" s="48">
        <f t="shared" ref="AE84:AE89" si="71">AB84*AD84/AC84</f>
        <v>1.8518518518518517E-2</v>
      </c>
      <c r="AF84" s="254">
        <f>(84743.22)*1.302/3*12</f>
        <v>441342.68976000004</v>
      </c>
      <c r="AG84" s="4"/>
      <c r="AH84" s="264">
        <f t="shared" ref="AH84:AH89" si="72">AE84*AF84</f>
        <v>8173.0127733333338</v>
      </c>
      <c r="AI84" s="390"/>
      <c r="AJ84" s="292">
        <f t="shared" si="66"/>
        <v>3</v>
      </c>
      <c r="AK84" s="138">
        <f t="shared" si="69"/>
        <v>1324028.0692800002</v>
      </c>
      <c r="AL84" s="155"/>
      <c r="AM84" s="227">
        <f>AM83-AL83</f>
        <v>0</v>
      </c>
      <c r="AO84" s="24"/>
      <c r="AP84" s="194"/>
      <c r="AQ84" s="216"/>
      <c r="AR84" s="216"/>
      <c r="AS84" s="194"/>
      <c r="AT84" s="26"/>
    </row>
    <row r="85" spans="1:50" ht="27">
      <c r="A85" s="107">
        <v>6</v>
      </c>
      <c r="B85" s="105" t="s">
        <v>77</v>
      </c>
      <c r="C85" s="49" t="s">
        <v>29</v>
      </c>
      <c r="D85" s="109">
        <f>1/2/81*E85</f>
        <v>7.407407407407407E-2</v>
      </c>
      <c r="E85" s="28">
        <f>E80</f>
        <v>12</v>
      </c>
      <c r="F85" s="29">
        <v>1</v>
      </c>
      <c r="G85" s="48">
        <f t="shared" si="62"/>
        <v>6.1728395061728392E-3</v>
      </c>
      <c r="H85" s="254">
        <f t="shared" si="70"/>
        <v>441342.68976000004</v>
      </c>
      <c r="I85" s="4"/>
      <c r="J85" s="264">
        <f t="shared" si="63"/>
        <v>2724.3375911111111</v>
      </c>
      <c r="K85" s="390"/>
      <c r="L85" s="64"/>
      <c r="M85" s="107">
        <v>6</v>
      </c>
      <c r="N85" s="105" t="s">
        <v>77</v>
      </c>
      <c r="O85" s="49" t="s">
        <v>29</v>
      </c>
      <c r="P85" s="109">
        <f>1/2/81*Q85</f>
        <v>0.42592592592592593</v>
      </c>
      <c r="Q85" s="28">
        <f>Q80</f>
        <v>69</v>
      </c>
      <c r="R85" s="29">
        <v>1</v>
      </c>
      <c r="S85" s="48">
        <f t="shared" si="64"/>
        <v>6.1728395061728392E-3</v>
      </c>
      <c r="T85" s="254">
        <f>AF85</f>
        <v>441342.68976000004</v>
      </c>
      <c r="U85" s="4"/>
      <c r="V85" s="264">
        <f t="shared" si="65"/>
        <v>2724.3375911111111</v>
      </c>
      <c r="W85" s="390"/>
      <c r="X85" s="76"/>
      <c r="Y85" s="107">
        <v>6</v>
      </c>
      <c r="Z85" s="116" t="s">
        <v>77</v>
      </c>
      <c r="AA85" s="49" t="s">
        <v>29</v>
      </c>
      <c r="AB85" s="83">
        <v>0.5</v>
      </c>
      <c r="AC85" s="28">
        <f>AC80</f>
        <v>81</v>
      </c>
      <c r="AD85" s="29">
        <v>1</v>
      </c>
      <c r="AE85" s="48">
        <f t="shared" si="71"/>
        <v>6.1728395061728392E-3</v>
      </c>
      <c r="AF85" s="254">
        <f>(28247.74)*1.302*12</f>
        <v>441342.68976000004</v>
      </c>
      <c r="AG85" s="4"/>
      <c r="AH85" s="264">
        <f t="shared" si="72"/>
        <v>2724.3375911111111</v>
      </c>
      <c r="AI85" s="390"/>
      <c r="AJ85" s="292">
        <f t="shared" si="66"/>
        <v>1</v>
      </c>
      <c r="AK85" s="138">
        <f t="shared" si="69"/>
        <v>441342.68976000004</v>
      </c>
      <c r="AL85" s="155"/>
      <c r="AM85" s="156"/>
      <c r="AO85" s="24"/>
      <c r="AP85" s="194"/>
      <c r="AQ85" s="216"/>
      <c r="AR85" s="216"/>
      <c r="AS85" s="194"/>
      <c r="AT85" s="26"/>
    </row>
    <row r="86" spans="1:50" ht="21.75" customHeight="1">
      <c r="A86" s="107">
        <v>7</v>
      </c>
      <c r="B86" s="106"/>
      <c r="C86" s="49"/>
      <c r="D86" s="83"/>
      <c r="E86" s="28"/>
      <c r="F86" s="29"/>
      <c r="G86" s="48"/>
      <c r="H86" s="254"/>
      <c r="I86" s="4"/>
      <c r="J86" s="264"/>
      <c r="K86" s="390"/>
      <c r="L86" s="64"/>
      <c r="M86" s="107">
        <v>7</v>
      </c>
      <c r="N86" s="106"/>
      <c r="O86" s="49"/>
      <c r="P86" s="83"/>
      <c r="Q86" s="28"/>
      <c r="R86" s="29"/>
      <c r="S86" s="48"/>
      <c r="T86" s="254"/>
      <c r="U86" s="4"/>
      <c r="V86" s="264"/>
      <c r="W86" s="390"/>
      <c r="X86" s="76"/>
      <c r="Y86" s="107">
        <v>7</v>
      </c>
      <c r="Z86" s="116" t="s">
        <v>132</v>
      </c>
      <c r="AA86" s="49" t="s">
        <v>29</v>
      </c>
      <c r="AB86" s="83">
        <v>1</v>
      </c>
      <c r="AC86" s="28">
        <f>AC80</f>
        <v>81</v>
      </c>
      <c r="AD86" s="29">
        <v>1</v>
      </c>
      <c r="AE86" s="48">
        <f t="shared" si="71"/>
        <v>1.2345679012345678E-2</v>
      </c>
      <c r="AF86" s="254">
        <f>(28247.74)*1.302*12</f>
        <v>441342.68976000004</v>
      </c>
      <c r="AG86" s="4"/>
      <c r="AH86" s="264">
        <f t="shared" si="72"/>
        <v>5448.6751822222222</v>
      </c>
      <c r="AI86" s="390"/>
      <c r="AJ86" s="292">
        <f t="shared" si="66"/>
        <v>1</v>
      </c>
      <c r="AK86" s="138">
        <f t="shared" si="69"/>
        <v>441342.68975999998</v>
      </c>
      <c r="AL86" s="155"/>
      <c r="AM86" s="156"/>
      <c r="AO86" s="24"/>
      <c r="AP86" s="194"/>
      <c r="AQ86" s="216"/>
      <c r="AR86" s="216"/>
      <c r="AS86" s="194"/>
      <c r="AT86" s="26"/>
    </row>
    <row r="87" spans="1:50" ht="21.75" customHeight="1">
      <c r="A87" s="107">
        <v>8</v>
      </c>
      <c r="B87" s="106"/>
      <c r="C87" s="49"/>
      <c r="D87" s="83"/>
      <c r="E87" s="28"/>
      <c r="F87" s="29"/>
      <c r="G87" s="48"/>
      <c r="H87" s="254"/>
      <c r="I87" s="4"/>
      <c r="J87" s="264"/>
      <c r="K87" s="390"/>
      <c r="L87" s="64"/>
      <c r="M87" s="107">
        <v>8</v>
      </c>
      <c r="N87" s="106"/>
      <c r="O87" s="49"/>
      <c r="P87" s="83"/>
      <c r="Q87" s="28"/>
      <c r="R87" s="29"/>
      <c r="S87" s="48"/>
      <c r="T87" s="254"/>
      <c r="U87" s="4"/>
      <c r="V87" s="264"/>
      <c r="W87" s="390"/>
      <c r="X87" s="76"/>
      <c r="Y87" s="107">
        <v>8</v>
      </c>
      <c r="Z87" s="116" t="s">
        <v>223</v>
      </c>
      <c r="AA87" s="49" t="s">
        <v>29</v>
      </c>
      <c r="AB87" s="83">
        <v>2</v>
      </c>
      <c r="AC87" s="28">
        <f>AC80</f>
        <v>81</v>
      </c>
      <c r="AD87" s="29">
        <v>1</v>
      </c>
      <c r="AE87" s="48">
        <f t="shared" si="71"/>
        <v>2.4691358024691357E-2</v>
      </c>
      <c r="AF87" s="254">
        <f>(56495.48)*1.302/2*12</f>
        <v>441342.68976000004</v>
      </c>
      <c r="AG87" s="4"/>
      <c r="AH87" s="264">
        <f t="shared" si="72"/>
        <v>10897.350364444444</v>
      </c>
      <c r="AI87" s="390"/>
      <c r="AJ87" s="292">
        <f t="shared" si="66"/>
        <v>2</v>
      </c>
      <c r="AK87" s="138">
        <f t="shared" si="69"/>
        <v>882685.37951999996</v>
      </c>
      <c r="AL87" s="155"/>
      <c r="AM87" s="156"/>
      <c r="AO87" s="24"/>
      <c r="AP87" s="194"/>
      <c r="AQ87" s="216"/>
      <c r="AR87" s="216"/>
      <c r="AS87" s="194"/>
      <c r="AT87" s="26"/>
    </row>
    <row r="88" spans="1:50" ht="21.75" customHeight="1">
      <c r="A88" s="107">
        <v>9</v>
      </c>
      <c r="B88" s="106"/>
      <c r="C88" s="49"/>
      <c r="D88" s="83"/>
      <c r="E88" s="28"/>
      <c r="F88" s="29"/>
      <c r="G88" s="48"/>
      <c r="H88" s="254"/>
      <c r="I88" s="4"/>
      <c r="J88" s="264"/>
      <c r="K88" s="390"/>
      <c r="L88" s="64"/>
      <c r="M88" s="107">
        <v>9</v>
      </c>
      <c r="N88" s="106"/>
      <c r="O88" s="49"/>
      <c r="P88" s="83"/>
      <c r="Q88" s="28"/>
      <c r="R88" s="29"/>
      <c r="S88" s="48"/>
      <c r="T88" s="254"/>
      <c r="U88" s="4"/>
      <c r="V88" s="264"/>
      <c r="W88" s="390"/>
      <c r="X88" s="76"/>
      <c r="Y88" s="107">
        <v>9</v>
      </c>
      <c r="Z88" s="116" t="s">
        <v>133</v>
      </c>
      <c r="AA88" s="49" t="s">
        <v>29</v>
      </c>
      <c r="AB88" s="83">
        <v>2</v>
      </c>
      <c r="AC88" s="28">
        <f>AC81</f>
        <v>81</v>
      </c>
      <c r="AD88" s="29">
        <v>1</v>
      </c>
      <c r="AE88" s="48">
        <f t="shared" si="71"/>
        <v>2.4691358024691357E-2</v>
      </c>
      <c r="AF88" s="254">
        <f>(56495.48)*1.302/2*12</f>
        <v>441342.68976000004</v>
      </c>
      <c r="AG88" s="4"/>
      <c r="AH88" s="264">
        <f t="shared" si="72"/>
        <v>10897.350364444444</v>
      </c>
      <c r="AI88" s="390"/>
      <c r="AJ88" s="292">
        <f t="shared" si="66"/>
        <v>2</v>
      </c>
      <c r="AK88" s="138">
        <f t="shared" si="69"/>
        <v>882685.37951999996</v>
      </c>
      <c r="AL88" s="155"/>
      <c r="AM88" s="156"/>
      <c r="AO88" s="24"/>
      <c r="AP88" s="194"/>
      <c r="AQ88" s="216"/>
      <c r="AR88" s="216"/>
      <c r="AS88" s="194"/>
      <c r="AT88" s="26"/>
    </row>
    <row r="89" spans="1:50" ht="21.75" customHeight="1">
      <c r="A89" s="107">
        <v>10</v>
      </c>
      <c r="B89" s="106"/>
      <c r="C89" s="49"/>
      <c r="D89" s="83"/>
      <c r="E89" s="28"/>
      <c r="F89" s="29"/>
      <c r="G89" s="48"/>
      <c r="H89" s="254"/>
      <c r="I89" s="4"/>
      <c r="J89" s="264"/>
      <c r="K89" s="390"/>
      <c r="L89" s="64"/>
      <c r="M89" s="107">
        <v>10</v>
      </c>
      <c r="N89" s="106"/>
      <c r="O89" s="49"/>
      <c r="P89" s="83"/>
      <c r="Q89" s="28"/>
      <c r="R89" s="29"/>
      <c r="S89" s="48"/>
      <c r="T89" s="254"/>
      <c r="U89" s="4"/>
      <c r="V89" s="264"/>
      <c r="W89" s="390"/>
      <c r="X89" s="76"/>
      <c r="Y89" s="107">
        <v>10</v>
      </c>
      <c r="Z89" s="102" t="s">
        <v>134</v>
      </c>
      <c r="AA89" s="49" t="s">
        <v>29</v>
      </c>
      <c r="AB89" s="83">
        <v>1</v>
      </c>
      <c r="AC89" s="28">
        <f>AC80</f>
        <v>81</v>
      </c>
      <c r="AD89" s="29">
        <v>1</v>
      </c>
      <c r="AE89" s="48">
        <f t="shared" si="71"/>
        <v>1.2345679012345678E-2</v>
      </c>
      <c r="AF89" s="254">
        <f>(28247.710102407)*1.302*12</f>
        <v>441342.22264000704</v>
      </c>
      <c r="AG89" s="4"/>
      <c r="AH89" s="264">
        <f t="shared" si="72"/>
        <v>5448.6694153087283</v>
      </c>
      <c r="AI89" s="390"/>
      <c r="AJ89" s="292">
        <f t="shared" si="66"/>
        <v>1</v>
      </c>
      <c r="AK89" s="138">
        <f>AH89*AC89+V89*Q89+J89*E89</f>
        <v>441342.22264000698</v>
      </c>
      <c r="AL89" s="155">
        <f>AM82+AM83-AL8</f>
        <v>6924913.6099999994</v>
      </c>
      <c r="AM89" s="156"/>
      <c r="AO89" s="24"/>
      <c r="AP89" s="194"/>
      <c r="AQ89" s="216"/>
      <c r="AR89" s="216"/>
      <c r="AS89" s="26"/>
      <c r="AT89" s="26"/>
    </row>
    <row r="90" spans="1:50">
      <c r="A90" s="374" t="s">
        <v>25</v>
      </c>
      <c r="B90" s="375"/>
      <c r="C90" s="375"/>
      <c r="D90" s="375"/>
      <c r="E90" s="375"/>
      <c r="F90" s="375"/>
      <c r="G90" s="375"/>
      <c r="H90" s="375"/>
      <c r="I90" s="376"/>
      <c r="J90" s="266">
        <f>SUM(J80:J89)</f>
        <v>26400.357645432119</v>
      </c>
      <c r="K90" s="391"/>
      <c r="L90" s="64"/>
      <c r="M90" s="374" t="s">
        <v>25</v>
      </c>
      <c r="N90" s="375"/>
      <c r="O90" s="375"/>
      <c r="P90" s="375"/>
      <c r="Q90" s="375"/>
      <c r="R90" s="375"/>
      <c r="S90" s="375"/>
      <c r="T90" s="375"/>
      <c r="U90" s="376"/>
      <c r="V90" s="266">
        <f>SUM(V80:V89)</f>
        <v>26400.357645432119</v>
      </c>
      <c r="W90" s="391"/>
      <c r="X90" s="76"/>
      <c r="Y90" s="374" t="s">
        <v>25</v>
      </c>
      <c r="Z90" s="375"/>
      <c r="AA90" s="375"/>
      <c r="AB90" s="375"/>
      <c r="AC90" s="375"/>
      <c r="AD90" s="375"/>
      <c r="AE90" s="375"/>
      <c r="AF90" s="375"/>
      <c r="AG90" s="376"/>
      <c r="AH90" s="266">
        <f>SUM(AH80:AH89)</f>
        <v>59092.40297185196</v>
      </c>
      <c r="AI90" s="391"/>
      <c r="AJ90" s="77">
        <f>AH90*AC89+V90*Q85+J90*E85</f>
        <v>6924913.6100000106</v>
      </c>
      <c r="AK90" s="145">
        <f>SUM(AK80:AK89)</f>
        <v>6924913.6100000115</v>
      </c>
      <c r="AL90" s="155">
        <f>AL89-AJ90</f>
        <v>-1.1175870895385742E-8</v>
      </c>
      <c r="AO90" s="247"/>
      <c r="AP90" s="248"/>
      <c r="AQ90" s="248"/>
      <c r="AR90" s="248"/>
      <c r="AS90" s="197"/>
      <c r="AT90" s="194"/>
    </row>
    <row r="91" spans="1:50" ht="21.75" customHeight="1">
      <c r="A91" s="380" t="s">
        <v>60</v>
      </c>
      <c r="B91" s="381"/>
      <c r="C91" s="381"/>
      <c r="D91" s="381"/>
      <c r="E91" s="381"/>
      <c r="F91" s="381"/>
      <c r="G91" s="381"/>
      <c r="H91" s="381"/>
      <c r="I91" s="381"/>
      <c r="J91" s="381"/>
      <c r="K91" s="382"/>
      <c r="L91" s="63"/>
      <c r="M91" s="380" t="s">
        <v>60</v>
      </c>
      <c r="N91" s="381"/>
      <c r="O91" s="381"/>
      <c r="P91" s="381"/>
      <c r="Q91" s="381"/>
      <c r="R91" s="381"/>
      <c r="S91" s="381"/>
      <c r="T91" s="381"/>
      <c r="U91" s="381"/>
      <c r="V91" s="381"/>
      <c r="W91" s="382"/>
      <c r="X91" s="75"/>
      <c r="Y91" s="380" t="s">
        <v>60</v>
      </c>
      <c r="Z91" s="381"/>
      <c r="AA91" s="381"/>
      <c r="AB91" s="381"/>
      <c r="AC91" s="381"/>
      <c r="AD91" s="381"/>
      <c r="AE91" s="381"/>
      <c r="AF91" s="381"/>
      <c r="AG91" s="381"/>
      <c r="AH91" s="381"/>
      <c r="AI91" s="382"/>
      <c r="AJ91" s="154">
        <f>AK90-AJ90</f>
        <v>0</v>
      </c>
      <c r="AK91" s="143"/>
      <c r="AL91" s="284"/>
      <c r="AO91" s="194"/>
      <c r="AP91" s="26"/>
      <c r="AQ91" s="216"/>
      <c r="AR91" s="194"/>
      <c r="AS91" s="197"/>
      <c r="AT91" s="26"/>
    </row>
    <row r="92" spans="1:50" s="334" customFormat="1" ht="24.95" customHeight="1">
      <c r="A92" s="319">
        <f>M92</f>
        <v>1</v>
      </c>
      <c r="B92" s="320" t="str">
        <f>N92</f>
        <v>Медикаменты</v>
      </c>
      <c r="C92" s="321" t="str">
        <f>O92</f>
        <v>сумма в год</v>
      </c>
      <c r="D92" s="322">
        <f t="shared" ref="D92:D101" si="73">0.5/81*E92</f>
        <v>7.407407407407407E-2</v>
      </c>
      <c r="E92" s="323">
        <f>E85</f>
        <v>12</v>
      </c>
      <c r="F92" s="324">
        <v>1</v>
      </c>
      <c r="G92" s="325">
        <f t="shared" ref="G92:G127" si="74">D92*F92/E92</f>
        <v>6.1728395061728392E-3</v>
      </c>
      <c r="H92" s="326">
        <f>T92</f>
        <v>18000</v>
      </c>
      <c r="I92" s="327"/>
      <c r="J92" s="328">
        <f t="shared" ref="J92:J127" si="75">G92*H92</f>
        <v>111.1111111111111</v>
      </c>
      <c r="K92" s="389"/>
      <c r="L92" s="329"/>
      <c r="M92" s="319">
        <f>Y92</f>
        <v>1</v>
      </c>
      <c r="N92" s="320" t="str">
        <f>Z92</f>
        <v>Медикаменты</v>
      </c>
      <c r="O92" s="321" t="str">
        <f>AA92</f>
        <v>сумма в год</v>
      </c>
      <c r="P92" s="322">
        <f t="shared" ref="P92:P101" si="76">0.5/81*Q92</f>
        <v>0.42592592592592593</v>
      </c>
      <c r="Q92" s="323">
        <f>Q85</f>
        <v>69</v>
      </c>
      <c r="R92" s="324">
        <v>1</v>
      </c>
      <c r="S92" s="325">
        <f t="shared" ref="S92:S127" si="77">P92*R92/Q92</f>
        <v>6.1728395061728392E-3</v>
      </c>
      <c r="T92" s="326">
        <f>AF92</f>
        <v>18000</v>
      </c>
      <c r="U92" s="327"/>
      <c r="V92" s="328">
        <f>S92*T92</f>
        <v>111.1111111111111</v>
      </c>
      <c r="W92" s="389"/>
      <c r="X92" s="330"/>
      <c r="Y92" s="319">
        <v>1</v>
      </c>
      <c r="Z92" s="320" t="s">
        <v>93</v>
      </c>
      <c r="AA92" s="321" t="s">
        <v>47</v>
      </c>
      <c r="AB92" s="322">
        <v>0.5</v>
      </c>
      <c r="AC92" s="323">
        <f>AC89</f>
        <v>81</v>
      </c>
      <c r="AD92" s="324">
        <v>1</v>
      </c>
      <c r="AE92" s="325">
        <f t="shared" ref="AE92:AE127" si="78">AB92*AD92/AC92</f>
        <v>6.1728395061728392E-3</v>
      </c>
      <c r="AF92" s="326">
        <v>18000</v>
      </c>
      <c r="AG92" s="327"/>
      <c r="AH92" s="328">
        <f>AE92*AF92</f>
        <v>111.1111111111111</v>
      </c>
      <c r="AI92" s="389"/>
      <c r="AJ92" s="331">
        <f>AB92+P92+D92</f>
        <v>1</v>
      </c>
      <c r="AK92" s="163">
        <f>AH92*AC92+V92*Q92+J92*E92</f>
        <v>17999.999999999996</v>
      </c>
      <c r="AL92" s="332">
        <v>18000</v>
      </c>
      <c r="AM92" s="333">
        <f>AL92-AK92</f>
        <v>0</v>
      </c>
      <c r="AN92" s="334">
        <v>340</v>
      </c>
      <c r="AP92" s="335"/>
      <c r="AQ92" s="336"/>
      <c r="AR92" s="337"/>
      <c r="AS92" s="336"/>
      <c r="AT92" s="336"/>
      <c r="AU92" s="336"/>
      <c r="AV92" s="336"/>
      <c r="AW92" s="336"/>
      <c r="AX92" s="336"/>
    </row>
    <row r="93" spans="1:50" s="334" customFormat="1" ht="24.95" customHeight="1">
      <c r="A93" s="319">
        <f t="shared" ref="A93:A121" si="79">M93</f>
        <v>2</v>
      </c>
      <c r="B93" s="320" t="str">
        <f t="shared" ref="B93:B121" si="80">N93</f>
        <v>Комплектующие к оргтехнике</v>
      </c>
      <c r="C93" s="321" t="str">
        <f t="shared" ref="C93:C121" si="81">O93</f>
        <v>сумма в год</v>
      </c>
      <c r="D93" s="322">
        <f t="shared" si="73"/>
        <v>7.407407407407407E-2</v>
      </c>
      <c r="E93" s="323">
        <f>E92</f>
        <v>12</v>
      </c>
      <c r="F93" s="324">
        <v>1</v>
      </c>
      <c r="G93" s="325">
        <f t="shared" si="74"/>
        <v>6.1728395061728392E-3</v>
      </c>
      <c r="H93" s="326">
        <f t="shared" ref="H93:H127" si="82">T93</f>
        <v>0</v>
      </c>
      <c r="I93" s="327"/>
      <c r="J93" s="328">
        <f t="shared" si="75"/>
        <v>0</v>
      </c>
      <c r="K93" s="390"/>
      <c r="L93" s="329"/>
      <c r="M93" s="319">
        <f t="shared" ref="M93:M122" si="83">Y93</f>
        <v>2</v>
      </c>
      <c r="N93" s="320" t="str">
        <f t="shared" ref="N93:N122" si="84">Z93</f>
        <v>Комплектующие к оргтехнике</v>
      </c>
      <c r="O93" s="321" t="str">
        <f t="shared" ref="O93:O127" si="85">AA93</f>
        <v>сумма в год</v>
      </c>
      <c r="P93" s="322">
        <f t="shared" si="76"/>
        <v>0.42592592592592593</v>
      </c>
      <c r="Q93" s="323">
        <f>Q92</f>
        <v>69</v>
      </c>
      <c r="R93" s="324">
        <v>1</v>
      </c>
      <c r="S93" s="325">
        <f t="shared" si="77"/>
        <v>6.1728395061728392E-3</v>
      </c>
      <c r="T93" s="326">
        <f t="shared" ref="T93:T127" si="86">AF93</f>
        <v>0</v>
      </c>
      <c r="U93" s="327"/>
      <c r="V93" s="328">
        <f t="shared" ref="V93:V127" si="87">S93*T93</f>
        <v>0</v>
      </c>
      <c r="W93" s="390"/>
      <c r="X93" s="330"/>
      <c r="Y93" s="319">
        <v>2</v>
      </c>
      <c r="Z93" s="320" t="s">
        <v>135</v>
      </c>
      <c r="AA93" s="321" t="s">
        <v>47</v>
      </c>
      <c r="AB93" s="322">
        <v>0.5</v>
      </c>
      <c r="AC93" s="323">
        <f>AC92</f>
        <v>81</v>
      </c>
      <c r="AD93" s="324">
        <v>1</v>
      </c>
      <c r="AE93" s="325">
        <f t="shared" si="78"/>
        <v>6.1728395061728392E-3</v>
      </c>
      <c r="AF93" s="326">
        <v>0</v>
      </c>
      <c r="AG93" s="327"/>
      <c r="AH93" s="328">
        <f t="shared" ref="AH93:AH127" si="88">AE93*AF93</f>
        <v>0</v>
      </c>
      <c r="AI93" s="390"/>
      <c r="AJ93" s="331">
        <f t="shared" ref="AJ93:AJ127" si="89">AB93+P93+D93</f>
        <v>1</v>
      </c>
      <c r="AK93" s="163">
        <f t="shared" ref="AK93:AK127" si="90">AH93*AC93+V93*Q93+J93*E93</f>
        <v>0</v>
      </c>
      <c r="AL93" s="332">
        <v>0</v>
      </c>
      <c r="AM93" s="333">
        <f t="shared" ref="AM93:AM127" si="91">AL93-AK93</f>
        <v>0</v>
      </c>
      <c r="AN93" s="334">
        <v>340</v>
      </c>
      <c r="AP93" s="335"/>
      <c r="AQ93" s="336"/>
      <c r="AR93" s="337"/>
      <c r="AS93" s="336"/>
      <c r="AT93" s="336"/>
      <c r="AU93" s="336"/>
      <c r="AV93" s="336"/>
      <c r="AW93" s="336"/>
      <c r="AX93" s="336"/>
    </row>
    <row r="94" spans="1:50" s="334" customFormat="1" ht="24.95" customHeight="1">
      <c r="A94" s="319">
        <f t="shared" si="79"/>
        <v>3</v>
      </c>
      <c r="B94" s="320" t="str">
        <f t="shared" si="80"/>
        <v>Демеркуризация отработанных ламп</v>
      </c>
      <c r="C94" s="321" t="str">
        <f t="shared" si="81"/>
        <v>сумма в год</v>
      </c>
      <c r="D94" s="322">
        <f t="shared" si="73"/>
        <v>7.407407407407407E-2</v>
      </c>
      <c r="E94" s="323">
        <f>E92</f>
        <v>12</v>
      </c>
      <c r="F94" s="324">
        <v>1</v>
      </c>
      <c r="G94" s="325">
        <f t="shared" si="74"/>
        <v>6.1728395061728392E-3</v>
      </c>
      <c r="H94" s="326">
        <f t="shared" si="82"/>
        <v>1000</v>
      </c>
      <c r="I94" s="327"/>
      <c r="J94" s="328">
        <f t="shared" si="75"/>
        <v>6.1728395061728394</v>
      </c>
      <c r="K94" s="390"/>
      <c r="L94" s="329"/>
      <c r="M94" s="319">
        <f t="shared" si="83"/>
        <v>3</v>
      </c>
      <c r="N94" s="320" t="str">
        <f t="shared" si="84"/>
        <v>Демеркуризация отработанных ламп</v>
      </c>
      <c r="O94" s="321" t="str">
        <f t="shared" si="85"/>
        <v>сумма в год</v>
      </c>
      <c r="P94" s="322">
        <f t="shared" si="76"/>
        <v>0.42592592592592593</v>
      </c>
      <c r="Q94" s="323">
        <f t="shared" ref="Q94:Q127" si="92">Q93</f>
        <v>69</v>
      </c>
      <c r="R94" s="324">
        <v>1</v>
      </c>
      <c r="S94" s="325">
        <f t="shared" si="77"/>
        <v>6.1728395061728392E-3</v>
      </c>
      <c r="T94" s="326">
        <f t="shared" si="86"/>
        <v>1000</v>
      </c>
      <c r="U94" s="327"/>
      <c r="V94" s="328">
        <f t="shared" si="87"/>
        <v>6.1728395061728394</v>
      </c>
      <c r="W94" s="390"/>
      <c r="X94" s="330"/>
      <c r="Y94" s="319">
        <v>3</v>
      </c>
      <c r="Z94" s="320" t="s">
        <v>94</v>
      </c>
      <c r="AA94" s="321" t="s">
        <v>47</v>
      </c>
      <c r="AB94" s="322">
        <v>0.5</v>
      </c>
      <c r="AC94" s="323">
        <f>AC92</f>
        <v>81</v>
      </c>
      <c r="AD94" s="324">
        <v>1</v>
      </c>
      <c r="AE94" s="325">
        <f t="shared" si="78"/>
        <v>6.1728395061728392E-3</v>
      </c>
      <c r="AF94" s="326">
        <v>1000</v>
      </c>
      <c r="AG94" s="327"/>
      <c r="AH94" s="328">
        <f t="shared" si="88"/>
        <v>6.1728395061728394</v>
      </c>
      <c r="AI94" s="390"/>
      <c r="AJ94" s="331">
        <f t="shared" si="89"/>
        <v>1</v>
      </c>
      <c r="AK94" s="163">
        <f t="shared" si="90"/>
        <v>1000</v>
      </c>
      <c r="AL94" s="338">
        <v>1000</v>
      </c>
      <c r="AM94" s="333">
        <f t="shared" si="91"/>
        <v>0</v>
      </c>
      <c r="AN94" s="339">
        <v>226</v>
      </c>
      <c r="AO94" s="340">
        <f>SUM(AK94:AK99)+SUM(AK102:AK107)</f>
        <v>395647.31</v>
      </c>
      <c r="AP94" s="341">
        <f>AG148</f>
        <v>395647.31</v>
      </c>
      <c r="AQ94" s="336"/>
      <c r="AR94" s="337"/>
      <c r="AS94" s="336"/>
      <c r="AT94" s="336"/>
      <c r="AU94" s="336"/>
      <c r="AV94" s="336"/>
      <c r="AW94" s="336"/>
      <c r="AX94" s="336"/>
    </row>
    <row r="95" spans="1:50" s="334" customFormat="1" ht="24.95" customHeight="1">
      <c r="A95" s="319">
        <f t="shared" si="79"/>
        <v>4</v>
      </c>
      <c r="B95" s="320" t="str">
        <f t="shared" si="80"/>
        <v>Обучение</v>
      </c>
      <c r="C95" s="321" t="str">
        <f t="shared" si="81"/>
        <v>сумма в год</v>
      </c>
      <c r="D95" s="322">
        <f t="shared" si="73"/>
        <v>7.407407407407407E-2</v>
      </c>
      <c r="E95" s="323">
        <f>E92</f>
        <v>12</v>
      </c>
      <c r="F95" s="324">
        <v>1</v>
      </c>
      <c r="G95" s="325">
        <f t="shared" si="74"/>
        <v>6.1728395061728392E-3</v>
      </c>
      <c r="H95" s="326">
        <f t="shared" si="82"/>
        <v>45000</v>
      </c>
      <c r="I95" s="327"/>
      <c r="J95" s="328">
        <f t="shared" si="75"/>
        <v>277.77777777777777</v>
      </c>
      <c r="K95" s="390"/>
      <c r="L95" s="329"/>
      <c r="M95" s="319">
        <f t="shared" si="83"/>
        <v>4</v>
      </c>
      <c r="N95" s="320" t="str">
        <f t="shared" si="84"/>
        <v>Обучение</v>
      </c>
      <c r="O95" s="321" t="str">
        <f t="shared" si="85"/>
        <v>сумма в год</v>
      </c>
      <c r="P95" s="322">
        <f t="shared" si="76"/>
        <v>0.42592592592592593</v>
      </c>
      <c r="Q95" s="323">
        <f t="shared" si="92"/>
        <v>69</v>
      </c>
      <c r="R95" s="324">
        <v>1</v>
      </c>
      <c r="S95" s="325">
        <f t="shared" si="77"/>
        <v>6.1728395061728392E-3</v>
      </c>
      <c r="T95" s="326">
        <f t="shared" si="86"/>
        <v>45000</v>
      </c>
      <c r="U95" s="327"/>
      <c r="V95" s="328">
        <f t="shared" si="87"/>
        <v>277.77777777777777</v>
      </c>
      <c r="W95" s="390"/>
      <c r="X95" s="330"/>
      <c r="Y95" s="319">
        <v>4</v>
      </c>
      <c r="Z95" s="320" t="s">
        <v>78</v>
      </c>
      <c r="AA95" s="321" t="s">
        <v>47</v>
      </c>
      <c r="AB95" s="322">
        <v>0.5</v>
      </c>
      <c r="AC95" s="323">
        <f>AC92</f>
        <v>81</v>
      </c>
      <c r="AD95" s="324">
        <v>1</v>
      </c>
      <c r="AE95" s="325">
        <f t="shared" si="78"/>
        <v>6.1728395061728392E-3</v>
      </c>
      <c r="AF95" s="326">
        <v>45000</v>
      </c>
      <c r="AG95" s="327"/>
      <c r="AH95" s="328">
        <f t="shared" si="88"/>
        <v>277.77777777777777</v>
      </c>
      <c r="AI95" s="390"/>
      <c r="AJ95" s="331">
        <f t="shared" si="89"/>
        <v>1</v>
      </c>
      <c r="AK95" s="163">
        <f t="shared" si="90"/>
        <v>45000.000000000007</v>
      </c>
      <c r="AL95" s="338">
        <v>45000</v>
      </c>
      <c r="AM95" s="333">
        <f t="shared" si="91"/>
        <v>0</v>
      </c>
      <c r="AN95" s="334">
        <v>226</v>
      </c>
      <c r="AO95" s="342">
        <f>AP94-AO94</f>
        <v>0</v>
      </c>
      <c r="AP95" s="335"/>
      <c r="AQ95" s="336"/>
      <c r="AR95" s="337"/>
      <c r="AS95" s="336"/>
      <c r="AT95" s="336"/>
      <c r="AU95" s="336"/>
      <c r="AV95" s="336"/>
      <c r="AW95" s="336"/>
      <c r="AX95" s="336"/>
    </row>
    <row r="96" spans="1:50" s="334" customFormat="1" ht="30">
      <c r="A96" s="319">
        <f t="shared" si="79"/>
        <v>5</v>
      </c>
      <c r="B96" s="320" t="str">
        <f t="shared" si="80"/>
        <v>Испытание диэлектрических бот и перчаток</v>
      </c>
      <c r="C96" s="321" t="str">
        <f t="shared" si="81"/>
        <v>сумма в год</v>
      </c>
      <c r="D96" s="322">
        <f t="shared" si="73"/>
        <v>7.407407407407407E-2</v>
      </c>
      <c r="E96" s="323">
        <f>E92</f>
        <v>12</v>
      </c>
      <c r="F96" s="324">
        <v>1</v>
      </c>
      <c r="G96" s="325">
        <f t="shared" si="74"/>
        <v>6.1728395061728392E-3</v>
      </c>
      <c r="H96" s="326">
        <f t="shared" si="82"/>
        <v>4262.3999999999996</v>
      </c>
      <c r="I96" s="327"/>
      <c r="J96" s="328">
        <f t="shared" si="75"/>
        <v>26.311111111111106</v>
      </c>
      <c r="K96" s="390"/>
      <c r="L96" s="329"/>
      <c r="M96" s="319">
        <f t="shared" si="83"/>
        <v>5</v>
      </c>
      <c r="N96" s="320" t="str">
        <f t="shared" si="84"/>
        <v>Испытание диэлектрических бот и перчаток</v>
      </c>
      <c r="O96" s="321" t="str">
        <f t="shared" si="85"/>
        <v>сумма в год</v>
      </c>
      <c r="P96" s="322">
        <f t="shared" si="76"/>
        <v>0.42592592592592593</v>
      </c>
      <c r="Q96" s="323">
        <f t="shared" si="92"/>
        <v>69</v>
      </c>
      <c r="R96" s="324">
        <v>1</v>
      </c>
      <c r="S96" s="325">
        <f t="shared" si="77"/>
        <v>6.1728395061728392E-3</v>
      </c>
      <c r="T96" s="326">
        <f t="shared" si="86"/>
        <v>4262.3999999999996</v>
      </c>
      <c r="U96" s="327"/>
      <c r="V96" s="328">
        <f t="shared" si="87"/>
        <v>26.311111111111106</v>
      </c>
      <c r="W96" s="390"/>
      <c r="X96" s="330"/>
      <c r="Y96" s="319">
        <v>5</v>
      </c>
      <c r="Z96" s="320" t="s">
        <v>172</v>
      </c>
      <c r="AA96" s="321" t="s">
        <v>47</v>
      </c>
      <c r="AB96" s="322">
        <v>0.5</v>
      </c>
      <c r="AC96" s="323">
        <f>AC92</f>
        <v>81</v>
      </c>
      <c r="AD96" s="324">
        <v>1</v>
      </c>
      <c r="AE96" s="325">
        <f t="shared" si="78"/>
        <v>6.1728395061728392E-3</v>
      </c>
      <c r="AF96" s="326">
        <v>4262.3999999999996</v>
      </c>
      <c r="AG96" s="327"/>
      <c r="AH96" s="328">
        <f t="shared" si="88"/>
        <v>26.311111111111106</v>
      </c>
      <c r="AI96" s="390"/>
      <c r="AJ96" s="331">
        <f t="shared" si="89"/>
        <v>1</v>
      </c>
      <c r="AK96" s="163">
        <f t="shared" si="90"/>
        <v>4262.3999999999996</v>
      </c>
      <c r="AL96" s="338">
        <v>4262.3999999999996</v>
      </c>
      <c r="AM96" s="333">
        <f t="shared" si="91"/>
        <v>0</v>
      </c>
      <c r="AN96" s="334">
        <v>226</v>
      </c>
      <c r="AP96" s="335"/>
      <c r="AQ96" s="336"/>
      <c r="AR96" s="337"/>
      <c r="AS96" s="336"/>
      <c r="AT96" s="336"/>
      <c r="AU96" s="336"/>
      <c r="AV96" s="336"/>
      <c r="AW96" s="336"/>
      <c r="AX96" s="336"/>
    </row>
    <row r="97" spans="1:50" s="334" customFormat="1" ht="47.25">
      <c r="A97" s="319">
        <f t="shared" si="79"/>
        <v>6</v>
      </c>
      <c r="B97" s="320" t="str">
        <f t="shared" si="80"/>
        <v>контроль качестватекстильных материалов и деревянных конструкций</v>
      </c>
      <c r="C97" s="321" t="str">
        <f t="shared" si="81"/>
        <v>сумма в год</v>
      </c>
      <c r="D97" s="322">
        <f t="shared" si="73"/>
        <v>7.407407407407407E-2</v>
      </c>
      <c r="E97" s="323">
        <f>E92</f>
        <v>12</v>
      </c>
      <c r="F97" s="324">
        <v>1</v>
      </c>
      <c r="G97" s="325">
        <f t="shared" si="74"/>
        <v>6.1728395061728392E-3</v>
      </c>
      <c r="H97" s="326">
        <f t="shared" si="82"/>
        <v>4500</v>
      </c>
      <c r="I97" s="327"/>
      <c r="J97" s="328">
        <f t="shared" si="75"/>
        <v>27.777777777777775</v>
      </c>
      <c r="K97" s="390"/>
      <c r="L97" s="329"/>
      <c r="M97" s="319">
        <f t="shared" si="83"/>
        <v>6</v>
      </c>
      <c r="N97" s="320" t="str">
        <f t="shared" si="84"/>
        <v>контроль качестватекстильных материалов и деревянных конструкций</v>
      </c>
      <c r="O97" s="321" t="str">
        <f t="shared" si="85"/>
        <v>сумма в год</v>
      </c>
      <c r="P97" s="322">
        <f t="shared" si="76"/>
        <v>0.42592592592592593</v>
      </c>
      <c r="Q97" s="323">
        <f t="shared" si="92"/>
        <v>69</v>
      </c>
      <c r="R97" s="324">
        <v>1</v>
      </c>
      <c r="S97" s="325">
        <f t="shared" si="77"/>
        <v>6.1728395061728392E-3</v>
      </c>
      <c r="T97" s="326">
        <f t="shared" si="86"/>
        <v>4500</v>
      </c>
      <c r="U97" s="327"/>
      <c r="V97" s="328">
        <f t="shared" si="87"/>
        <v>27.777777777777775</v>
      </c>
      <c r="W97" s="390"/>
      <c r="X97" s="330"/>
      <c r="Y97" s="319">
        <v>6</v>
      </c>
      <c r="Z97" s="343" t="s">
        <v>173</v>
      </c>
      <c r="AA97" s="321" t="s">
        <v>47</v>
      </c>
      <c r="AB97" s="344">
        <v>0.5</v>
      </c>
      <c r="AC97" s="323">
        <f>AC92</f>
        <v>81</v>
      </c>
      <c r="AD97" s="324">
        <v>1</v>
      </c>
      <c r="AE97" s="325">
        <f t="shared" si="78"/>
        <v>6.1728395061728392E-3</v>
      </c>
      <c r="AF97" s="326">
        <v>4500</v>
      </c>
      <c r="AG97" s="327"/>
      <c r="AH97" s="328">
        <f t="shared" si="88"/>
        <v>27.777777777777775</v>
      </c>
      <c r="AI97" s="390"/>
      <c r="AJ97" s="331">
        <f t="shared" si="89"/>
        <v>1</v>
      </c>
      <c r="AK97" s="163">
        <f t="shared" si="90"/>
        <v>4499.9999999999991</v>
      </c>
      <c r="AL97" s="338">
        <v>4500</v>
      </c>
      <c r="AM97" s="333">
        <f t="shared" si="91"/>
        <v>0</v>
      </c>
      <c r="AN97" s="334">
        <v>226</v>
      </c>
      <c r="AP97" s="335"/>
      <c r="AQ97" s="336"/>
      <c r="AR97" s="337"/>
      <c r="AS97" s="336"/>
      <c r="AT97" s="336"/>
      <c r="AU97" s="336"/>
      <c r="AV97" s="336"/>
      <c r="AW97" s="336"/>
      <c r="AX97" s="336"/>
    </row>
    <row r="98" spans="1:50" s="334" customFormat="1" ht="30">
      <c r="A98" s="319">
        <f t="shared" si="79"/>
        <v>7</v>
      </c>
      <c r="B98" s="320" t="str">
        <f t="shared" si="80"/>
        <v>Услуги Центра гигиены и эпидемиологии</v>
      </c>
      <c r="C98" s="321" t="str">
        <f t="shared" si="81"/>
        <v>сумма в год</v>
      </c>
      <c r="D98" s="322">
        <f t="shared" si="73"/>
        <v>7.407407407407407E-2</v>
      </c>
      <c r="E98" s="323">
        <f>E92</f>
        <v>12</v>
      </c>
      <c r="F98" s="324">
        <v>1</v>
      </c>
      <c r="G98" s="325">
        <f t="shared" si="74"/>
        <v>6.1728395061728392E-3</v>
      </c>
      <c r="H98" s="326">
        <f t="shared" si="82"/>
        <v>228746.52</v>
      </c>
      <c r="I98" s="327"/>
      <c r="J98" s="328">
        <f t="shared" si="75"/>
        <v>1412.0155555555555</v>
      </c>
      <c r="K98" s="390"/>
      <c r="L98" s="329"/>
      <c r="M98" s="319">
        <f t="shared" si="83"/>
        <v>7</v>
      </c>
      <c r="N98" s="320" t="str">
        <f t="shared" si="84"/>
        <v>Услуги Центра гигиены и эпидемиологии</v>
      </c>
      <c r="O98" s="321" t="str">
        <f t="shared" si="85"/>
        <v>сумма в год</v>
      </c>
      <c r="P98" s="322">
        <f t="shared" si="76"/>
        <v>0.42592592592592593</v>
      </c>
      <c r="Q98" s="323">
        <f t="shared" si="92"/>
        <v>69</v>
      </c>
      <c r="R98" s="324">
        <v>1</v>
      </c>
      <c r="S98" s="325">
        <f t="shared" si="77"/>
        <v>6.1728395061728392E-3</v>
      </c>
      <c r="T98" s="326">
        <f t="shared" si="86"/>
        <v>228746.52</v>
      </c>
      <c r="U98" s="327"/>
      <c r="V98" s="328">
        <f t="shared" si="87"/>
        <v>1412.0155555555555</v>
      </c>
      <c r="W98" s="390"/>
      <c r="X98" s="330"/>
      <c r="Y98" s="319">
        <v>7</v>
      </c>
      <c r="Z98" s="320" t="s">
        <v>137</v>
      </c>
      <c r="AA98" s="321" t="s">
        <v>47</v>
      </c>
      <c r="AB98" s="344">
        <v>0.5</v>
      </c>
      <c r="AC98" s="323">
        <f>AC92</f>
        <v>81</v>
      </c>
      <c r="AD98" s="324">
        <v>1</v>
      </c>
      <c r="AE98" s="325">
        <f t="shared" si="78"/>
        <v>6.1728395061728392E-3</v>
      </c>
      <c r="AF98" s="326">
        <v>228746.52</v>
      </c>
      <c r="AG98" s="327"/>
      <c r="AH98" s="328">
        <f t="shared" si="88"/>
        <v>1412.0155555555555</v>
      </c>
      <c r="AI98" s="390"/>
      <c r="AJ98" s="331">
        <f t="shared" si="89"/>
        <v>1</v>
      </c>
      <c r="AK98" s="163">
        <f t="shared" si="90"/>
        <v>228746.52</v>
      </c>
      <c r="AL98" s="338">
        <v>228746.52</v>
      </c>
      <c r="AM98" s="333">
        <f t="shared" si="91"/>
        <v>0</v>
      </c>
      <c r="AN98" s="334">
        <v>226</v>
      </c>
      <c r="AP98" s="335"/>
      <c r="AQ98" s="336"/>
      <c r="AR98" s="337"/>
      <c r="AS98" s="336"/>
      <c r="AT98" s="336"/>
      <c r="AU98" s="336"/>
      <c r="AV98" s="336"/>
      <c r="AW98" s="336"/>
      <c r="AX98" s="336"/>
    </row>
    <row r="99" spans="1:50" s="334" customFormat="1" ht="24.95" customHeight="1">
      <c r="A99" s="319">
        <f t="shared" si="79"/>
        <v>8</v>
      </c>
      <c r="B99" s="320" t="str">
        <f t="shared" si="80"/>
        <v>Замена тех.паспрта</v>
      </c>
      <c r="C99" s="321" t="str">
        <f t="shared" si="81"/>
        <v>сумма в год</v>
      </c>
      <c r="D99" s="322">
        <f t="shared" si="73"/>
        <v>7.407407407407407E-2</v>
      </c>
      <c r="E99" s="323">
        <f>E92</f>
        <v>12</v>
      </c>
      <c r="F99" s="324">
        <v>1</v>
      </c>
      <c r="G99" s="325">
        <f t="shared" si="74"/>
        <v>6.1728395061728392E-3</v>
      </c>
      <c r="H99" s="326">
        <f t="shared" si="82"/>
        <v>0</v>
      </c>
      <c r="I99" s="327"/>
      <c r="J99" s="328">
        <f t="shared" si="75"/>
        <v>0</v>
      </c>
      <c r="K99" s="390"/>
      <c r="L99" s="329"/>
      <c r="M99" s="319">
        <f t="shared" si="83"/>
        <v>8</v>
      </c>
      <c r="N99" s="320" t="str">
        <f t="shared" si="84"/>
        <v>Замена тех.паспрта</v>
      </c>
      <c r="O99" s="321" t="str">
        <f t="shared" si="85"/>
        <v>сумма в год</v>
      </c>
      <c r="P99" s="322">
        <f t="shared" si="76"/>
        <v>0.42592592592592593</v>
      </c>
      <c r="Q99" s="323">
        <f t="shared" si="92"/>
        <v>69</v>
      </c>
      <c r="R99" s="324">
        <v>1</v>
      </c>
      <c r="S99" s="325">
        <f t="shared" si="77"/>
        <v>6.1728395061728392E-3</v>
      </c>
      <c r="T99" s="326">
        <f t="shared" si="86"/>
        <v>0</v>
      </c>
      <c r="U99" s="327"/>
      <c r="V99" s="328">
        <f t="shared" si="87"/>
        <v>0</v>
      </c>
      <c r="W99" s="390"/>
      <c r="X99" s="330"/>
      <c r="Y99" s="319">
        <v>8</v>
      </c>
      <c r="Z99" s="320" t="s">
        <v>217</v>
      </c>
      <c r="AA99" s="321" t="s">
        <v>47</v>
      </c>
      <c r="AB99" s="322">
        <v>0.5</v>
      </c>
      <c r="AC99" s="323">
        <f>AC92</f>
        <v>81</v>
      </c>
      <c r="AD99" s="324">
        <v>1</v>
      </c>
      <c r="AE99" s="325">
        <f t="shared" si="78"/>
        <v>6.1728395061728392E-3</v>
      </c>
      <c r="AF99" s="326">
        <v>0</v>
      </c>
      <c r="AG99" s="327"/>
      <c r="AH99" s="328">
        <f t="shared" si="88"/>
        <v>0</v>
      </c>
      <c r="AI99" s="390"/>
      <c r="AJ99" s="331">
        <f t="shared" si="89"/>
        <v>1</v>
      </c>
      <c r="AK99" s="163">
        <f t="shared" si="90"/>
        <v>0</v>
      </c>
      <c r="AL99" s="338">
        <v>0</v>
      </c>
      <c r="AM99" s="333">
        <f t="shared" si="91"/>
        <v>0</v>
      </c>
      <c r="AN99" s="334">
        <v>226</v>
      </c>
      <c r="AP99" s="335"/>
      <c r="AQ99" s="336"/>
      <c r="AR99" s="337"/>
      <c r="AS99" s="336"/>
      <c r="AT99" s="336"/>
      <c r="AU99" s="337"/>
      <c r="AV99" s="336"/>
      <c r="AW99" s="336"/>
      <c r="AX99" s="336"/>
    </row>
    <row r="100" spans="1:50" s="334" customFormat="1" ht="24.95" customHeight="1">
      <c r="A100" s="319">
        <f t="shared" si="79"/>
        <v>9</v>
      </c>
      <c r="B100" s="320" t="str">
        <f t="shared" si="80"/>
        <v>Налоги, госпошлина</v>
      </c>
      <c r="C100" s="321" t="str">
        <f t="shared" si="81"/>
        <v>сумма в год</v>
      </c>
      <c r="D100" s="322">
        <f t="shared" si="73"/>
        <v>7.407407407407407E-2</v>
      </c>
      <c r="E100" s="323">
        <f>E92</f>
        <v>12</v>
      </c>
      <c r="F100" s="324">
        <v>1</v>
      </c>
      <c r="G100" s="325">
        <f t="shared" si="74"/>
        <v>6.1728395061728392E-3</v>
      </c>
      <c r="H100" s="326">
        <f t="shared" si="82"/>
        <v>2000</v>
      </c>
      <c r="I100" s="327"/>
      <c r="J100" s="328">
        <f t="shared" si="75"/>
        <v>12.345679012345679</v>
      </c>
      <c r="K100" s="390"/>
      <c r="L100" s="329"/>
      <c r="M100" s="319">
        <f t="shared" si="83"/>
        <v>9</v>
      </c>
      <c r="N100" s="320" t="str">
        <f t="shared" si="84"/>
        <v>Налоги, госпошлина</v>
      </c>
      <c r="O100" s="321" t="str">
        <f t="shared" si="85"/>
        <v>сумма в год</v>
      </c>
      <c r="P100" s="322">
        <f t="shared" si="76"/>
        <v>0.42592592592592593</v>
      </c>
      <c r="Q100" s="323">
        <f t="shared" si="92"/>
        <v>69</v>
      </c>
      <c r="R100" s="324">
        <v>1</v>
      </c>
      <c r="S100" s="325">
        <f t="shared" si="77"/>
        <v>6.1728395061728392E-3</v>
      </c>
      <c r="T100" s="326">
        <f t="shared" si="86"/>
        <v>2000</v>
      </c>
      <c r="U100" s="327"/>
      <c r="V100" s="328">
        <f t="shared" si="87"/>
        <v>12.345679012345679</v>
      </c>
      <c r="W100" s="390"/>
      <c r="X100" s="330"/>
      <c r="Y100" s="319">
        <v>9</v>
      </c>
      <c r="Z100" s="320" t="s">
        <v>96</v>
      </c>
      <c r="AA100" s="321" t="s">
        <v>47</v>
      </c>
      <c r="AB100" s="322">
        <v>0.5</v>
      </c>
      <c r="AC100" s="323">
        <f>AC92</f>
        <v>81</v>
      </c>
      <c r="AD100" s="324">
        <v>1</v>
      </c>
      <c r="AE100" s="325">
        <f t="shared" si="78"/>
        <v>6.1728395061728392E-3</v>
      </c>
      <c r="AF100" s="326">
        <v>2000</v>
      </c>
      <c r="AG100" s="327"/>
      <c r="AH100" s="328">
        <f t="shared" si="88"/>
        <v>12.345679012345679</v>
      </c>
      <c r="AI100" s="390"/>
      <c r="AJ100" s="331">
        <f t="shared" si="89"/>
        <v>1</v>
      </c>
      <c r="AK100" s="163">
        <f t="shared" si="90"/>
        <v>2000</v>
      </c>
      <c r="AL100" s="345">
        <f>AG149</f>
        <v>2000</v>
      </c>
      <c r="AM100" s="333">
        <f t="shared" si="91"/>
        <v>0</v>
      </c>
      <c r="AN100" s="334">
        <v>290</v>
      </c>
      <c r="AP100" s="335"/>
      <c r="AQ100" s="336"/>
      <c r="AR100" s="337"/>
      <c r="AS100" s="336"/>
      <c r="AT100" s="336"/>
      <c r="AU100" s="336"/>
      <c r="AV100" s="336"/>
      <c r="AW100" s="336"/>
      <c r="AX100" s="336"/>
    </row>
    <row r="101" spans="1:50" s="334" customFormat="1" ht="30">
      <c r="A101" s="319">
        <f t="shared" si="79"/>
        <v>10</v>
      </c>
      <c r="B101" s="320" t="str">
        <f t="shared" si="80"/>
        <v>пособие по уходу за ребенком до 3-х лет</v>
      </c>
      <c r="C101" s="321" t="str">
        <f t="shared" si="81"/>
        <v>сумма в год</v>
      </c>
      <c r="D101" s="322">
        <f t="shared" si="73"/>
        <v>7.407407407407407E-2</v>
      </c>
      <c r="E101" s="323">
        <f>E92</f>
        <v>12</v>
      </c>
      <c r="F101" s="324">
        <v>1</v>
      </c>
      <c r="G101" s="325">
        <f t="shared" si="74"/>
        <v>6.1728395061728392E-3</v>
      </c>
      <c r="H101" s="326">
        <f t="shared" si="82"/>
        <v>2700</v>
      </c>
      <c r="I101" s="327"/>
      <c r="J101" s="328">
        <f t="shared" si="75"/>
        <v>16.666666666666664</v>
      </c>
      <c r="K101" s="390"/>
      <c r="L101" s="329"/>
      <c r="M101" s="319">
        <f t="shared" si="83"/>
        <v>10</v>
      </c>
      <c r="N101" s="320" t="str">
        <f t="shared" si="84"/>
        <v>пособие по уходу за ребенком до 3-х лет</v>
      </c>
      <c r="O101" s="321" t="str">
        <f t="shared" si="85"/>
        <v>сумма в год</v>
      </c>
      <c r="P101" s="322">
        <f t="shared" si="76"/>
        <v>0.42592592592592593</v>
      </c>
      <c r="Q101" s="323">
        <f t="shared" si="92"/>
        <v>69</v>
      </c>
      <c r="R101" s="324">
        <v>1</v>
      </c>
      <c r="S101" s="325">
        <f t="shared" si="77"/>
        <v>6.1728395061728392E-3</v>
      </c>
      <c r="T101" s="326">
        <f t="shared" si="86"/>
        <v>2700</v>
      </c>
      <c r="U101" s="327"/>
      <c r="V101" s="328">
        <f t="shared" si="87"/>
        <v>16.666666666666664</v>
      </c>
      <c r="W101" s="390"/>
      <c r="X101" s="330"/>
      <c r="Y101" s="319">
        <v>10</v>
      </c>
      <c r="Z101" s="320" t="s">
        <v>97</v>
      </c>
      <c r="AA101" s="321" t="s">
        <v>47</v>
      </c>
      <c r="AB101" s="322">
        <v>0.5</v>
      </c>
      <c r="AC101" s="323">
        <f>AC92</f>
        <v>81</v>
      </c>
      <c r="AD101" s="324">
        <v>1</v>
      </c>
      <c r="AE101" s="325">
        <f t="shared" si="78"/>
        <v>6.1728395061728392E-3</v>
      </c>
      <c r="AF101" s="326">
        <v>2700</v>
      </c>
      <c r="AG101" s="327"/>
      <c r="AH101" s="328">
        <f t="shared" si="88"/>
        <v>16.666666666666664</v>
      </c>
      <c r="AI101" s="390"/>
      <c r="AJ101" s="331">
        <f t="shared" si="89"/>
        <v>1</v>
      </c>
      <c r="AK101" s="163">
        <f t="shared" si="90"/>
        <v>2699.9999999999995</v>
      </c>
      <c r="AL101" s="346">
        <f>AG142</f>
        <v>2700</v>
      </c>
      <c r="AM101" s="333">
        <f t="shared" si="91"/>
        <v>0</v>
      </c>
      <c r="AN101" s="334">
        <v>212</v>
      </c>
      <c r="AP101" s="335"/>
      <c r="AQ101" s="336"/>
      <c r="AR101" s="337"/>
      <c r="AS101" s="336"/>
      <c r="AT101" s="336"/>
      <c r="AU101" s="336"/>
      <c r="AV101" s="336"/>
      <c r="AW101" s="336"/>
      <c r="AX101" s="336"/>
    </row>
    <row r="102" spans="1:50" s="334" customFormat="1" ht="45">
      <c r="A102" s="319">
        <f t="shared" si="79"/>
        <v>11</v>
      </c>
      <c r="B102" s="320" t="str">
        <f t="shared" si="80"/>
        <v>Медосмотр младшего обслуживающего и административного персонала</v>
      </c>
      <c r="C102" s="321" t="str">
        <f t="shared" si="81"/>
        <v>сумма в год</v>
      </c>
      <c r="D102" s="322">
        <f>12/81*E102</f>
        <v>1.7777777777777777</v>
      </c>
      <c r="E102" s="323">
        <f>E92</f>
        <v>12</v>
      </c>
      <c r="F102" s="324">
        <v>1</v>
      </c>
      <c r="G102" s="325">
        <f t="shared" si="74"/>
        <v>0.14814814814814814</v>
      </c>
      <c r="H102" s="326">
        <f t="shared" si="82"/>
        <v>2500</v>
      </c>
      <c r="I102" s="327"/>
      <c r="J102" s="328">
        <f t="shared" si="75"/>
        <v>370.37037037037032</v>
      </c>
      <c r="K102" s="390"/>
      <c r="L102" s="329"/>
      <c r="M102" s="319">
        <f t="shared" si="83"/>
        <v>11</v>
      </c>
      <c r="N102" s="320" t="str">
        <f t="shared" si="84"/>
        <v>Медосмотр младшего обслуживающего и административного персонала</v>
      </c>
      <c r="O102" s="321" t="str">
        <f t="shared" si="85"/>
        <v>сумма в год</v>
      </c>
      <c r="P102" s="322">
        <f>12/81*Q102</f>
        <v>10.222222222222221</v>
      </c>
      <c r="Q102" s="323">
        <f t="shared" si="92"/>
        <v>69</v>
      </c>
      <c r="R102" s="324">
        <v>1</v>
      </c>
      <c r="S102" s="325">
        <f t="shared" si="77"/>
        <v>0.14814814814814814</v>
      </c>
      <c r="T102" s="326">
        <f t="shared" si="86"/>
        <v>2500</v>
      </c>
      <c r="U102" s="327"/>
      <c r="V102" s="328">
        <f t="shared" si="87"/>
        <v>370.37037037037032</v>
      </c>
      <c r="W102" s="390"/>
      <c r="X102" s="330"/>
      <c r="Y102" s="319">
        <v>11</v>
      </c>
      <c r="Z102" s="320" t="s">
        <v>157</v>
      </c>
      <c r="AA102" s="321" t="s">
        <v>47</v>
      </c>
      <c r="AB102" s="322">
        <v>12</v>
      </c>
      <c r="AC102" s="323">
        <f>AC92</f>
        <v>81</v>
      </c>
      <c r="AD102" s="324">
        <v>1</v>
      </c>
      <c r="AE102" s="325">
        <f t="shared" si="78"/>
        <v>0.14814814814814814</v>
      </c>
      <c r="AF102" s="326">
        <v>2500</v>
      </c>
      <c r="AG102" s="327"/>
      <c r="AH102" s="328">
        <f t="shared" si="88"/>
        <v>370.37037037037032</v>
      </c>
      <c r="AI102" s="390"/>
      <c r="AJ102" s="331">
        <f t="shared" si="89"/>
        <v>24</v>
      </c>
      <c r="AK102" s="163">
        <f t="shared" si="90"/>
        <v>59999.999999999993</v>
      </c>
      <c r="AL102" s="338">
        <v>60000</v>
      </c>
      <c r="AM102" s="333">
        <f t="shared" si="91"/>
        <v>0</v>
      </c>
      <c r="AN102" s="334">
        <v>226.21199999999999</v>
      </c>
      <c r="AO102" s="347" t="s">
        <v>187</v>
      </c>
      <c r="AP102" s="335"/>
      <c r="AQ102" s="336"/>
      <c r="AR102" s="337"/>
      <c r="AS102" s="336"/>
      <c r="AT102" s="336"/>
      <c r="AU102" s="336"/>
      <c r="AV102" s="336"/>
      <c r="AW102" s="336"/>
      <c r="AX102" s="336"/>
    </row>
    <row r="103" spans="1:50" s="334" customFormat="1" ht="24.95" customHeight="1">
      <c r="A103" s="319">
        <f t="shared" si="79"/>
        <v>12</v>
      </c>
      <c r="B103" s="320" t="str">
        <f t="shared" si="80"/>
        <v>Подписка, услуги Семис</v>
      </c>
      <c r="C103" s="321" t="str">
        <f t="shared" si="81"/>
        <v>сумма в год</v>
      </c>
      <c r="D103" s="322">
        <f t="shared" ref="D103:D108" si="93">0.5/81*E103</f>
        <v>7.407407407407407E-2</v>
      </c>
      <c r="E103" s="323">
        <f>E92</f>
        <v>12</v>
      </c>
      <c r="F103" s="324">
        <v>1</v>
      </c>
      <c r="G103" s="325">
        <f t="shared" si="74"/>
        <v>6.1728395061728392E-3</v>
      </c>
      <c r="H103" s="326">
        <f t="shared" si="82"/>
        <v>1000</v>
      </c>
      <c r="I103" s="327"/>
      <c r="J103" s="328">
        <f t="shared" si="75"/>
        <v>6.1728395061728394</v>
      </c>
      <c r="K103" s="390"/>
      <c r="L103" s="329"/>
      <c r="M103" s="319">
        <f t="shared" si="83"/>
        <v>12</v>
      </c>
      <c r="N103" s="320" t="str">
        <f t="shared" si="84"/>
        <v>Подписка, услуги Семис</v>
      </c>
      <c r="O103" s="321" t="str">
        <f t="shared" si="85"/>
        <v>сумма в год</v>
      </c>
      <c r="P103" s="322">
        <f t="shared" ref="P103:P108" si="94">0.5/81*Q103</f>
        <v>0.42592592592592593</v>
      </c>
      <c r="Q103" s="323">
        <f t="shared" si="92"/>
        <v>69</v>
      </c>
      <c r="R103" s="324">
        <v>1</v>
      </c>
      <c r="S103" s="325">
        <f t="shared" si="77"/>
        <v>6.1728395061728392E-3</v>
      </c>
      <c r="T103" s="326">
        <f t="shared" si="86"/>
        <v>1000</v>
      </c>
      <c r="U103" s="327"/>
      <c r="V103" s="328">
        <f t="shared" si="87"/>
        <v>6.1728395061728394</v>
      </c>
      <c r="W103" s="390"/>
      <c r="X103" s="330"/>
      <c r="Y103" s="319">
        <v>12</v>
      </c>
      <c r="Z103" s="320" t="s">
        <v>139</v>
      </c>
      <c r="AA103" s="321" t="s">
        <v>47</v>
      </c>
      <c r="AB103" s="322">
        <v>0.5</v>
      </c>
      <c r="AC103" s="323">
        <f>AC92</f>
        <v>81</v>
      </c>
      <c r="AD103" s="324">
        <v>1</v>
      </c>
      <c r="AE103" s="325">
        <f t="shared" si="78"/>
        <v>6.1728395061728392E-3</v>
      </c>
      <c r="AF103" s="326">
        <v>1000</v>
      </c>
      <c r="AG103" s="327"/>
      <c r="AH103" s="328">
        <f t="shared" si="88"/>
        <v>6.1728395061728394</v>
      </c>
      <c r="AI103" s="390"/>
      <c r="AJ103" s="331">
        <f t="shared" si="89"/>
        <v>1</v>
      </c>
      <c r="AK103" s="163">
        <f t="shared" si="90"/>
        <v>1000</v>
      </c>
      <c r="AL103" s="338">
        <v>1000</v>
      </c>
      <c r="AM103" s="333">
        <f t="shared" si="91"/>
        <v>0</v>
      </c>
      <c r="AN103" s="334">
        <v>226</v>
      </c>
      <c r="AO103" s="347"/>
      <c r="AP103" s="335"/>
      <c r="AQ103" s="336"/>
      <c r="AR103" s="337"/>
      <c r="AS103" s="336"/>
      <c r="AT103" s="336"/>
      <c r="AU103" s="336"/>
      <c r="AV103" s="336"/>
      <c r="AW103" s="336"/>
      <c r="AX103" s="336"/>
    </row>
    <row r="104" spans="1:50" s="334" customFormat="1" ht="45">
      <c r="A104" s="319">
        <f t="shared" si="79"/>
        <v>13</v>
      </c>
      <c r="B104" s="320" t="str">
        <f t="shared" si="80"/>
        <v>Проведение испытаний устройств заземления и изоляции электросетей</v>
      </c>
      <c r="C104" s="321" t="str">
        <f t="shared" si="81"/>
        <v>сумма в год</v>
      </c>
      <c r="D104" s="322">
        <f t="shared" si="93"/>
        <v>7.407407407407407E-2</v>
      </c>
      <c r="E104" s="323">
        <f>E92</f>
        <v>12</v>
      </c>
      <c r="F104" s="324">
        <v>1</v>
      </c>
      <c r="G104" s="325">
        <f t="shared" si="74"/>
        <v>6.1728395061728392E-3</v>
      </c>
      <c r="H104" s="326">
        <f t="shared" si="82"/>
        <v>17200</v>
      </c>
      <c r="I104" s="327"/>
      <c r="J104" s="328">
        <f t="shared" si="75"/>
        <v>106.17283950617283</v>
      </c>
      <c r="K104" s="390"/>
      <c r="L104" s="329"/>
      <c r="M104" s="319">
        <f t="shared" si="83"/>
        <v>13</v>
      </c>
      <c r="N104" s="320" t="str">
        <f t="shared" si="84"/>
        <v>Проведение испытаний устройств заземления и изоляции электросетей</v>
      </c>
      <c r="O104" s="321" t="str">
        <f t="shared" si="85"/>
        <v>сумма в год</v>
      </c>
      <c r="P104" s="322">
        <f t="shared" si="94"/>
        <v>0.42592592592592593</v>
      </c>
      <c r="Q104" s="323">
        <f t="shared" si="92"/>
        <v>69</v>
      </c>
      <c r="R104" s="324">
        <v>1</v>
      </c>
      <c r="S104" s="325">
        <f t="shared" si="77"/>
        <v>6.1728395061728392E-3</v>
      </c>
      <c r="T104" s="326">
        <f t="shared" si="86"/>
        <v>17200</v>
      </c>
      <c r="U104" s="327"/>
      <c r="V104" s="328">
        <f t="shared" si="87"/>
        <v>106.17283950617283</v>
      </c>
      <c r="W104" s="390"/>
      <c r="X104" s="330"/>
      <c r="Y104" s="319">
        <v>13</v>
      </c>
      <c r="Z104" s="320" t="s">
        <v>140</v>
      </c>
      <c r="AA104" s="321" t="s">
        <v>47</v>
      </c>
      <c r="AB104" s="322">
        <v>0.5</v>
      </c>
      <c r="AC104" s="323">
        <f>AC92</f>
        <v>81</v>
      </c>
      <c r="AD104" s="324">
        <v>1</v>
      </c>
      <c r="AE104" s="325">
        <f t="shared" si="78"/>
        <v>6.1728395061728392E-3</v>
      </c>
      <c r="AF104" s="326">
        <v>17200</v>
      </c>
      <c r="AG104" s="327"/>
      <c r="AH104" s="328">
        <f t="shared" si="88"/>
        <v>106.17283950617283</v>
      </c>
      <c r="AI104" s="390"/>
      <c r="AJ104" s="331">
        <f t="shared" si="89"/>
        <v>1</v>
      </c>
      <c r="AK104" s="163">
        <f t="shared" si="90"/>
        <v>17200</v>
      </c>
      <c r="AL104" s="338">
        <v>17200</v>
      </c>
      <c r="AM104" s="333">
        <f t="shared" si="91"/>
        <v>0</v>
      </c>
      <c r="AN104" s="334">
        <v>226</v>
      </c>
      <c r="AP104" s="335"/>
      <c r="AQ104" s="336"/>
      <c r="AR104" s="337"/>
      <c r="AS104" s="336"/>
      <c r="AT104" s="336"/>
      <c r="AU104" s="336"/>
      <c r="AV104" s="336"/>
      <c r="AW104" s="336"/>
      <c r="AX104" s="336"/>
    </row>
    <row r="105" spans="1:50" s="334" customFormat="1" ht="45">
      <c r="A105" s="319">
        <f t="shared" si="79"/>
        <v>14</v>
      </c>
      <c r="B105" s="320" t="str">
        <f t="shared" si="80"/>
        <v>Экспертиза огнезащитной обработки строительных конструкций</v>
      </c>
      <c r="C105" s="321" t="str">
        <f t="shared" si="81"/>
        <v>сумма в год</v>
      </c>
      <c r="D105" s="322">
        <f t="shared" si="93"/>
        <v>7.407407407407407E-2</v>
      </c>
      <c r="E105" s="323">
        <f>E92</f>
        <v>12</v>
      </c>
      <c r="F105" s="324">
        <v>1</v>
      </c>
      <c r="G105" s="325">
        <f t="shared" si="74"/>
        <v>6.1728395061728392E-3</v>
      </c>
      <c r="H105" s="326">
        <f t="shared" si="82"/>
        <v>6000</v>
      </c>
      <c r="I105" s="327"/>
      <c r="J105" s="328">
        <f t="shared" si="75"/>
        <v>37.037037037037038</v>
      </c>
      <c r="K105" s="390"/>
      <c r="L105" s="329"/>
      <c r="M105" s="319">
        <f t="shared" si="83"/>
        <v>14</v>
      </c>
      <c r="N105" s="320" t="str">
        <f t="shared" si="84"/>
        <v>Экспертиза огнезащитной обработки строительных конструкций</v>
      </c>
      <c r="O105" s="321" t="str">
        <f t="shared" si="85"/>
        <v>сумма в год</v>
      </c>
      <c r="P105" s="322">
        <f t="shared" si="94"/>
        <v>0.42592592592592593</v>
      </c>
      <c r="Q105" s="323">
        <f t="shared" si="92"/>
        <v>69</v>
      </c>
      <c r="R105" s="324">
        <v>1</v>
      </c>
      <c r="S105" s="325">
        <f t="shared" si="77"/>
        <v>6.1728395061728392E-3</v>
      </c>
      <c r="T105" s="326">
        <f t="shared" si="86"/>
        <v>6000</v>
      </c>
      <c r="U105" s="327"/>
      <c r="V105" s="328">
        <f t="shared" si="87"/>
        <v>37.037037037037038</v>
      </c>
      <c r="W105" s="390"/>
      <c r="X105" s="330"/>
      <c r="Y105" s="319">
        <v>14</v>
      </c>
      <c r="Z105" s="320" t="s">
        <v>185</v>
      </c>
      <c r="AA105" s="321" t="s">
        <v>47</v>
      </c>
      <c r="AB105" s="322">
        <v>0.5</v>
      </c>
      <c r="AC105" s="323">
        <f>AC92</f>
        <v>81</v>
      </c>
      <c r="AD105" s="324">
        <v>1</v>
      </c>
      <c r="AE105" s="325">
        <f t="shared" si="78"/>
        <v>6.1728395061728392E-3</v>
      </c>
      <c r="AF105" s="326">
        <v>6000</v>
      </c>
      <c r="AG105" s="327"/>
      <c r="AH105" s="328">
        <f t="shared" si="88"/>
        <v>37.037037037037038</v>
      </c>
      <c r="AI105" s="390"/>
      <c r="AJ105" s="331">
        <f t="shared" si="89"/>
        <v>1</v>
      </c>
      <c r="AK105" s="163">
        <f t="shared" si="90"/>
        <v>6000</v>
      </c>
      <c r="AL105" s="338">
        <v>6000</v>
      </c>
      <c r="AM105" s="333">
        <f t="shared" si="91"/>
        <v>0</v>
      </c>
      <c r="AN105" s="334">
        <v>226</v>
      </c>
      <c r="AP105" s="335"/>
      <c r="AQ105" s="336"/>
      <c r="AR105" s="337"/>
      <c r="AS105" s="336"/>
      <c r="AT105" s="336"/>
      <c r="AU105" s="336"/>
      <c r="AV105" s="336"/>
      <c r="AW105" s="336"/>
      <c r="AX105" s="336"/>
    </row>
    <row r="106" spans="1:50" s="334" customFormat="1" ht="30">
      <c r="A106" s="319">
        <f t="shared" si="79"/>
        <v>15</v>
      </c>
      <c r="B106" s="320" t="str">
        <f t="shared" si="80"/>
        <v>Обслуживание системы наружного видеонаблюдения</v>
      </c>
      <c r="C106" s="321" t="str">
        <f t="shared" si="81"/>
        <v>сумма в год</v>
      </c>
      <c r="D106" s="322">
        <f t="shared" si="93"/>
        <v>7.407407407407407E-2</v>
      </c>
      <c r="E106" s="323">
        <f>E92</f>
        <v>12</v>
      </c>
      <c r="F106" s="324">
        <v>1</v>
      </c>
      <c r="G106" s="325">
        <f t="shared" si="74"/>
        <v>6.1728395061728392E-3</v>
      </c>
      <c r="H106" s="326">
        <f t="shared" si="82"/>
        <v>12938.39</v>
      </c>
      <c r="I106" s="327"/>
      <c r="J106" s="328">
        <f t="shared" si="75"/>
        <v>79.866604938271593</v>
      </c>
      <c r="K106" s="390"/>
      <c r="L106" s="329"/>
      <c r="M106" s="319">
        <f t="shared" si="83"/>
        <v>15</v>
      </c>
      <c r="N106" s="320" t="str">
        <f t="shared" si="84"/>
        <v>Обслуживание системы наружного видеонаблюдения</v>
      </c>
      <c r="O106" s="321" t="str">
        <f t="shared" si="85"/>
        <v>сумма в год</v>
      </c>
      <c r="P106" s="322">
        <f t="shared" si="94"/>
        <v>0.42592592592592593</v>
      </c>
      <c r="Q106" s="323">
        <f t="shared" si="92"/>
        <v>69</v>
      </c>
      <c r="R106" s="324">
        <v>1</v>
      </c>
      <c r="S106" s="325">
        <f t="shared" si="77"/>
        <v>6.1728395061728392E-3</v>
      </c>
      <c r="T106" s="326">
        <f t="shared" si="86"/>
        <v>12938.39</v>
      </c>
      <c r="U106" s="327"/>
      <c r="V106" s="328">
        <f t="shared" si="87"/>
        <v>79.866604938271593</v>
      </c>
      <c r="W106" s="390"/>
      <c r="X106" s="330"/>
      <c r="Y106" s="319">
        <v>15</v>
      </c>
      <c r="Z106" s="320" t="s">
        <v>141</v>
      </c>
      <c r="AA106" s="321" t="s">
        <v>47</v>
      </c>
      <c r="AB106" s="322">
        <v>0.5</v>
      </c>
      <c r="AC106" s="323">
        <f>AC92</f>
        <v>81</v>
      </c>
      <c r="AD106" s="324">
        <v>1</v>
      </c>
      <c r="AE106" s="325">
        <f t="shared" si="78"/>
        <v>6.1728395061728392E-3</v>
      </c>
      <c r="AF106" s="326">
        <v>12938.39</v>
      </c>
      <c r="AG106" s="327"/>
      <c r="AH106" s="328">
        <f t="shared" si="88"/>
        <v>79.866604938271593</v>
      </c>
      <c r="AI106" s="390"/>
      <c r="AJ106" s="331">
        <f t="shared" si="89"/>
        <v>1</v>
      </c>
      <c r="AK106" s="163">
        <f t="shared" si="90"/>
        <v>12938.389999999998</v>
      </c>
      <c r="AL106" s="338">
        <v>12938.39</v>
      </c>
      <c r="AM106" s="333">
        <f t="shared" si="91"/>
        <v>0</v>
      </c>
      <c r="AN106" s="334">
        <v>226</v>
      </c>
      <c r="AP106" s="335"/>
      <c r="AQ106" s="336"/>
      <c r="AR106" s="337"/>
      <c r="AS106" s="337"/>
      <c r="AT106" s="336"/>
      <c r="AU106" s="336"/>
      <c r="AV106" s="336"/>
      <c r="AW106" s="336"/>
      <c r="AX106" s="336"/>
    </row>
    <row r="107" spans="1:50" s="334" customFormat="1" ht="24.95" customHeight="1">
      <c r="A107" s="319">
        <f t="shared" si="79"/>
        <v>16</v>
      </c>
      <c r="B107" s="320" t="str">
        <f t="shared" si="80"/>
        <v>Аттестация условий рабочих мест</v>
      </c>
      <c r="C107" s="321" t="str">
        <f t="shared" si="81"/>
        <v>сумма в год</v>
      </c>
      <c r="D107" s="322">
        <f t="shared" si="93"/>
        <v>7.407407407407407E-2</v>
      </c>
      <c r="E107" s="323">
        <f>E93</f>
        <v>12</v>
      </c>
      <c r="F107" s="324">
        <v>1</v>
      </c>
      <c r="G107" s="325">
        <f t="shared" si="74"/>
        <v>6.1728395061728392E-3</v>
      </c>
      <c r="H107" s="326">
        <f t="shared" si="82"/>
        <v>15000</v>
      </c>
      <c r="I107" s="327"/>
      <c r="J107" s="328">
        <f t="shared" si="75"/>
        <v>92.592592592592581</v>
      </c>
      <c r="K107" s="390"/>
      <c r="L107" s="329"/>
      <c r="M107" s="319">
        <f t="shared" si="83"/>
        <v>16</v>
      </c>
      <c r="N107" s="320" t="str">
        <f t="shared" si="84"/>
        <v>Аттестация условий рабочих мест</v>
      </c>
      <c r="O107" s="321" t="str">
        <f t="shared" si="85"/>
        <v>сумма в год</v>
      </c>
      <c r="P107" s="322">
        <f t="shared" si="94"/>
        <v>0.42592592592592593</v>
      </c>
      <c r="Q107" s="323">
        <f t="shared" si="92"/>
        <v>69</v>
      </c>
      <c r="R107" s="324">
        <v>1</v>
      </c>
      <c r="S107" s="325">
        <f t="shared" si="77"/>
        <v>6.1728395061728392E-3</v>
      </c>
      <c r="T107" s="326">
        <f t="shared" ref="T107" si="95">AF107</f>
        <v>15000</v>
      </c>
      <c r="U107" s="327"/>
      <c r="V107" s="328">
        <f t="shared" si="87"/>
        <v>92.592592592592581</v>
      </c>
      <c r="W107" s="390"/>
      <c r="X107" s="330"/>
      <c r="Y107" s="319">
        <v>16</v>
      </c>
      <c r="Z107" s="320" t="s">
        <v>161</v>
      </c>
      <c r="AA107" s="321" t="s">
        <v>47</v>
      </c>
      <c r="AB107" s="322">
        <v>0.5</v>
      </c>
      <c r="AC107" s="323">
        <f>AC93</f>
        <v>81</v>
      </c>
      <c r="AD107" s="324">
        <v>1</v>
      </c>
      <c r="AE107" s="325">
        <f t="shared" si="78"/>
        <v>6.1728395061728392E-3</v>
      </c>
      <c r="AF107" s="326">
        <v>15000</v>
      </c>
      <c r="AG107" s="327"/>
      <c r="AH107" s="328">
        <f t="shared" si="88"/>
        <v>92.592592592592581</v>
      </c>
      <c r="AI107" s="390"/>
      <c r="AJ107" s="331">
        <f t="shared" ref="AJ107" si="96">AB107+P107+D107</f>
        <v>1</v>
      </c>
      <c r="AK107" s="163">
        <f t="shared" ref="AK107" si="97">AH107*AC107+V107*Q107+J107*E107</f>
        <v>14999.999999999998</v>
      </c>
      <c r="AL107" s="338">
        <v>15000</v>
      </c>
      <c r="AM107" s="333">
        <f t="shared" si="91"/>
        <v>0</v>
      </c>
      <c r="AN107" s="334">
        <v>226</v>
      </c>
      <c r="AP107" s="335"/>
      <c r="AQ107" s="336"/>
      <c r="AR107" s="337"/>
      <c r="AS107" s="337"/>
      <c r="AT107" s="336"/>
      <c r="AU107" s="336"/>
      <c r="AV107" s="336"/>
      <c r="AW107" s="336"/>
      <c r="AX107" s="336"/>
    </row>
    <row r="108" spans="1:50" s="334" customFormat="1" ht="30">
      <c r="A108" s="319">
        <f t="shared" si="79"/>
        <v>16</v>
      </c>
      <c r="B108" s="320" t="str">
        <f t="shared" si="80"/>
        <v>Командировочные расходы административного персонала</v>
      </c>
      <c r="C108" s="321" t="str">
        <f t="shared" si="81"/>
        <v>сумма в год</v>
      </c>
      <c r="D108" s="322">
        <f t="shared" si="93"/>
        <v>7.407407407407407E-2</v>
      </c>
      <c r="E108" s="323">
        <f>E92</f>
        <v>12</v>
      </c>
      <c r="F108" s="324">
        <v>1</v>
      </c>
      <c r="G108" s="325">
        <f t="shared" si="74"/>
        <v>6.1728395061728392E-3</v>
      </c>
      <c r="H108" s="326">
        <f t="shared" si="82"/>
        <v>125000</v>
      </c>
      <c r="I108" s="327"/>
      <c r="J108" s="328">
        <f t="shared" si="75"/>
        <v>771.60493827160485</v>
      </c>
      <c r="K108" s="390"/>
      <c r="L108" s="329"/>
      <c r="M108" s="319">
        <f t="shared" si="83"/>
        <v>16</v>
      </c>
      <c r="N108" s="320" t="str">
        <f t="shared" si="84"/>
        <v>Командировочные расходы административного персонала</v>
      </c>
      <c r="O108" s="321" t="str">
        <f t="shared" si="85"/>
        <v>сумма в год</v>
      </c>
      <c r="P108" s="322">
        <f t="shared" si="94"/>
        <v>0.42592592592592593</v>
      </c>
      <c r="Q108" s="323">
        <f t="shared" si="92"/>
        <v>69</v>
      </c>
      <c r="R108" s="324">
        <v>1</v>
      </c>
      <c r="S108" s="325">
        <f t="shared" si="77"/>
        <v>6.1728395061728392E-3</v>
      </c>
      <c r="T108" s="326">
        <f t="shared" si="86"/>
        <v>125000</v>
      </c>
      <c r="U108" s="327"/>
      <c r="V108" s="328">
        <f t="shared" si="87"/>
        <v>771.60493827160485</v>
      </c>
      <c r="W108" s="390"/>
      <c r="X108" s="330"/>
      <c r="Y108" s="319">
        <v>16</v>
      </c>
      <c r="Z108" s="320" t="s">
        <v>138</v>
      </c>
      <c r="AA108" s="321" t="s">
        <v>47</v>
      </c>
      <c r="AB108" s="322">
        <v>0.5</v>
      </c>
      <c r="AC108" s="323">
        <f>AC92</f>
        <v>81</v>
      </c>
      <c r="AD108" s="324">
        <v>1</v>
      </c>
      <c r="AE108" s="325">
        <f t="shared" si="78"/>
        <v>6.1728395061728392E-3</v>
      </c>
      <c r="AF108" s="326">
        <v>125000</v>
      </c>
      <c r="AG108" s="327"/>
      <c r="AH108" s="328">
        <f t="shared" si="88"/>
        <v>771.60493827160485</v>
      </c>
      <c r="AI108" s="390"/>
      <c r="AJ108" s="331">
        <f t="shared" si="89"/>
        <v>1</v>
      </c>
      <c r="AK108" s="163">
        <f t="shared" si="90"/>
        <v>124999.99999999999</v>
      </c>
      <c r="AL108" s="346">
        <f>AE141+AE148</f>
        <v>125000</v>
      </c>
      <c r="AM108" s="333">
        <f t="shared" si="91"/>
        <v>0</v>
      </c>
      <c r="AN108" s="348" t="s">
        <v>209</v>
      </c>
      <c r="AP108" s="335"/>
      <c r="AQ108" s="336"/>
      <c r="AR108" s="337"/>
      <c r="AS108" s="336"/>
      <c r="AT108" s="336"/>
      <c r="AU108" s="336"/>
      <c r="AV108" s="336"/>
      <c r="AW108" s="336"/>
      <c r="AX108" s="336"/>
    </row>
    <row r="109" spans="1:50" s="334" customFormat="1" ht="24.95" customHeight="1">
      <c r="A109" s="319">
        <f t="shared" si="79"/>
        <v>17</v>
      </c>
      <c r="B109" s="320" t="str">
        <f t="shared" si="80"/>
        <v>Спецодежда (мягкий инвентарь)</v>
      </c>
      <c r="C109" s="321" t="str">
        <f t="shared" si="81"/>
        <v>сумма в год</v>
      </c>
      <c r="D109" s="322"/>
      <c r="E109" s="323">
        <f>E92</f>
        <v>12</v>
      </c>
      <c r="F109" s="324">
        <v>1</v>
      </c>
      <c r="G109" s="325">
        <f t="shared" si="74"/>
        <v>0</v>
      </c>
      <c r="H109" s="326">
        <f t="shared" si="82"/>
        <v>3750</v>
      </c>
      <c r="I109" s="327"/>
      <c r="J109" s="328">
        <f t="shared" si="75"/>
        <v>0</v>
      </c>
      <c r="K109" s="390"/>
      <c r="L109" s="329"/>
      <c r="M109" s="319">
        <f t="shared" si="83"/>
        <v>17</v>
      </c>
      <c r="N109" s="320" t="str">
        <f t="shared" si="84"/>
        <v>Спецодежда (мягкий инвентарь)</v>
      </c>
      <c r="O109" s="321" t="str">
        <f t="shared" si="85"/>
        <v>сумма в год</v>
      </c>
      <c r="P109" s="322"/>
      <c r="Q109" s="323">
        <f t="shared" si="92"/>
        <v>69</v>
      </c>
      <c r="R109" s="324">
        <v>1</v>
      </c>
      <c r="S109" s="325">
        <f t="shared" si="77"/>
        <v>0</v>
      </c>
      <c r="T109" s="326">
        <f t="shared" si="86"/>
        <v>3750</v>
      </c>
      <c r="U109" s="327"/>
      <c r="V109" s="328">
        <f t="shared" si="87"/>
        <v>0</v>
      </c>
      <c r="W109" s="390"/>
      <c r="X109" s="330"/>
      <c r="Y109" s="319">
        <v>17</v>
      </c>
      <c r="Z109" s="320" t="s">
        <v>143</v>
      </c>
      <c r="AA109" s="321" t="s">
        <v>47</v>
      </c>
      <c r="AB109" s="322">
        <v>4</v>
      </c>
      <c r="AC109" s="323">
        <f>AC92</f>
        <v>81</v>
      </c>
      <c r="AD109" s="324">
        <v>1</v>
      </c>
      <c r="AE109" s="325">
        <f t="shared" si="78"/>
        <v>4.9382716049382713E-2</v>
      </c>
      <c r="AF109" s="326">
        <v>3750</v>
      </c>
      <c r="AG109" s="327"/>
      <c r="AH109" s="328">
        <f t="shared" si="88"/>
        <v>185.18518518518516</v>
      </c>
      <c r="AI109" s="390"/>
      <c r="AJ109" s="331">
        <f t="shared" si="89"/>
        <v>4</v>
      </c>
      <c r="AK109" s="163">
        <f t="shared" si="90"/>
        <v>14999.999999999998</v>
      </c>
      <c r="AL109" s="332">
        <v>15000</v>
      </c>
      <c r="AM109" s="333">
        <f t="shared" si="91"/>
        <v>0</v>
      </c>
      <c r="AN109" s="334">
        <v>340</v>
      </c>
      <c r="AP109" s="335"/>
      <c r="AQ109" s="336"/>
      <c r="AR109" s="337"/>
      <c r="AS109" s="336"/>
      <c r="AT109" s="336"/>
      <c r="AU109" s="336"/>
      <c r="AV109" s="336"/>
      <c r="AW109" s="336"/>
      <c r="AX109" s="336"/>
    </row>
    <row r="110" spans="1:50" s="334" customFormat="1" ht="30">
      <c r="A110" s="319">
        <f t="shared" si="79"/>
        <v>18</v>
      </c>
      <c r="B110" s="320" t="str">
        <f t="shared" si="80"/>
        <v>Хоз.товары (дезинфицирующие, моющие средства)</v>
      </c>
      <c r="C110" s="321" t="str">
        <f t="shared" si="81"/>
        <v>сумма в год</v>
      </c>
      <c r="D110" s="322">
        <f>0.5/81*E110</f>
        <v>7.407407407407407E-2</v>
      </c>
      <c r="E110" s="323">
        <f>E92</f>
        <v>12</v>
      </c>
      <c r="F110" s="324">
        <v>1</v>
      </c>
      <c r="G110" s="325">
        <f t="shared" si="74"/>
        <v>6.1728395061728392E-3</v>
      </c>
      <c r="H110" s="326">
        <f t="shared" si="82"/>
        <v>127205</v>
      </c>
      <c r="I110" s="327"/>
      <c r="J110" s="328">
        <f t="shared" si="75"/>
        <v>785.21604938271605</v>
      </c>
      <c r="K110" s="390"/>
      <c r="L110" s="329"/>
      <c r="M110" s="319">
        <f t="shared" si="83"/>
        <v>18</v>
      </c>
      <c r="N110" s="320" t="str">
        <f t="shared" si="84"/>
        <v>Хоз.товары (дезинфицирующие, моющие средства)</v>
      </c>
      <c r="O110" s="321" t="str">
        <f t="shared" si="85"/>
        <v>сумма в год</v>
      </c>
      <c r="P110" s="322">
        <f>0.5/81*Q110</f>
        <v>0.42592592592592593</v>
      </c>
      <c r="Q110" s="323">
        <f t="shared" si="92"/>
        <v>69</v>
      </c>
      <c r="R110" s="324">
        <v>1</v>
      </c>
      <c r="S110" s="325">
        <f t="shared" si="77"/>
        <v>6.1728395061728392E-3</v>
      </c>
      <c r="T110" s="326">
        <f t="shared" si="86"/>
        <v>127205</v>
      </c>
      <c r="U110" s="327"/>
      <c r="V110" s="328">
        <f t="shared" si="87"/>
        <v>785.21604938271605</v>
      </c>
      <c r="W110" s="390"/>
      <c r="X110" s="330"/>
      <c r="Y110" s="319">
        <v>18</v>
      </c>
      <c r="Z110" s="320" t="s">
        <v>99</v>
      </c>
      <c r="AA110" s="321" t="s">
        <v>47</v>
      </c>
      <c r="AB110" s="322">
        <v>0.5</v>
      </c>
      <c r="AC110" s="323">
        <f>AC92</f>
        <v>81</v>
      </c>
      <c r="AD110" s="324">
        <v>1</v>
      </c>
      <c r="AE110" s="325">
        <f t="shared" si="78"/>
        <v>6.1728395061728392E-3</v>
      </c>
      <c r="AF110" s="326">
        <v>127205</v>
      </c>
      <c r="AG110" s="327"/>
      <c r="AH110" s="328">
        <f t="shared" si="88"/>
        <v>785.21604938271605</v>
      </c>
      <c r="AI110" s="390"/>
      <c r="AJ110" s="331">
        <f t="shared" si="89"/>
        <v>1</v>
      </c>
      <c r="AK110" s="163">
        <f t="shared" si="90"/>
        <v>127205.00000000001</v>
      </c>
      <c r="AL110" s="332">
        <v>127205</v>
      </c>
      <c r="AM110" s="333">
        <f t="shared" si="91"/>
        <v>0</v>
      </c>
      <c r="AN110" s="334">
        <v>340</v>
      </c>
      <c r="AP110" s="335"/>
      <c r="AQ110" s="336"/>
      <c r="AR110" s="337"/>
      <c r="AS110" s="336"/>
      <c r="AT110" s="336"/>
      <c r="AU110" s="336"/>
      <c r="AV110" s="336"/>
      <c r="AW110" s="336"/>
      <c r="AX110" s="336"/>
    </row>
    <row r="111" spans="1:50" s="334" customFormat="1" ht="24.95" customHeight="1">
      <c r="A111" s="319">
        <f t="shared" si="79"/>
        <v>19</v>
      </c>
      <c r="B111" s="320" t="str">
        <f t="shared" si="80"/>
        <v>Канцеллярские товары</v>
      </c>
      <c r="C111" s="321" t="str">
        <f t="shared" si="81"/>
        <v>сумма в год</v>
      </c>
      <c r="D111" s="322">
        <f>1/81*E111</f>
        <v>0.14814814814814814</v>
      </c>
      <c r="E111" s="323">
        <f>E110</f>
        <v>12</v>
      </c>
      <c r="F111" s="324">
        <v>1</v>
      </c>
      <c r="G111" s="325">
        <f t="shared" si="74"/>
        <v>1.2345679012345678E-2</v>
      </c>
      <c r="H111" s="326">
        <f t="shared" si="82"/>
        <v>13785</v>
      </c>
      <c r="I111" s="322"/>
      <c r="J111" s="328">
        <f t="shared" si="75"/>
        <v>170.18518518518516</v>
      </c>
      <c r="K111" s="390"/>
      <c r="L111" s="329"/>
      <c r="M111" s="319">
        <f t="shared" si="83"/>
        <v>19</v>
      </c>
      <c r="N111" s="320" t="str">
        <f t="shared" si="84"/>
        <v>Канцеллярские товары</v>
      </c>
      <c r="O111" s="321" t="str">
        <f t="shared" si="85"/>
        <v>сумма в год</v>
      </c>
      <c r="P111" s="322">
        <f>1/81*Q111</f>
        <v>0.85185185185185186</v>
      </c>
      <c r="Q111" s="323">
        <f t="shared" si="92"/>
        <v>69</v>
      </c>
      <c r="R111" s="324">
        <v>1</v>
      </c>
      <c r="S111" s="325">
        <f t="shared" si="77"/>
        <v>1.2345679012345678E-2</v>
      </c>
      <c r="T111" s="326">
        <f t="shared" si="86"/>
        <v>13785</v>
      </c>
      <c r="U111" s="322"/>
      <c r="V111" s="328">
        <f t="shared" si="87"/>
        <v>170.18518518518516</v>
      </c>
      <c r="W111" s="390"/>
      <c r="X111" s="330"/>
      <c r="Y111" s="319">
        <v>19</v>
      </c>
      <c r="Z111" s="320" t="s">
        <v>218</v>
      </c>
      <c r="AA111" s="321" t="s">
        <v>47</v>
      </c>
      <c r="AB111" s="322"/>
      <c r="AC111" s="323">
        <f>AC92</f>
        <v>81</v>
      </c>
      <c r="AD111" s="324">
        <v>1</v>
      </c>
      <c r="AE111" s="325">
        <f t="shared" si="78"/>
        <v>0</v>
      </c>
      <c r="AF111" s="326">
        <v>13785</v>
      </c>
      <c r="AG111" s="327"/>
      <c r="AH111" s="328">
        <f t="shared" si="88"/>
        <v>0</v>
      </c>
      <c r="AI111" s="390"/>
      <c r="AJ111" s="331">
        <f t="shared" si="89"/>
        <v>1</v>
      </c>
      <c r="AK111" s="163">
        <f t="shared" si="90"/>
        <v>13784.999999999998</v>
      </c>
      <c r="AL111" s="332">
        <v>13785</v>
      </c>
      <c r="AM111" s="333">
        <f t="shared" si="91"/>
        <v>0</v>
      </c>
      <c r="AN111" s="334">
        <v>340</v>
      </c>
      <c r="AP111" s="335"/>
      <c r="AQ111" s="336"/>
      <c r="AR111" s="337"/>
      <c r="AS111" s="336"/>
      <c r="AT111" s="336"/>
      <c r="AU111" s="336"/>
      <c r="AV111" s="336"/>
      <c r="AW111" s="336"/>
      <c r="AX111" s="336"/>
    </row>
    <row r="112" spans="1:50" s="334" customFormat="1" ht="24.95" customHeight="1">
      <c r="A112" s="319">
        <f t="shared" si="79"/>
        <v>20</v>
      </c>
      <c r="B112" s="320" t="str">
        <f t="shared" si="80"/>
        <v>Столовая посуда</v>
      </c>
      <c r="C112" s="321" t="str">
        <f t="shared" si="81"/>
        <v>сумма в год</v>
      </c>
      <c r="D112" s="322">
        <f>0.5/81*E112</f>
        <v>7.407407407407407E-2</v>
      </c>
      <c r="E112" s="323">
        <f t="shared" ref="E112:E127" si="98">E111</f>
        <v>12</v>
      </c>
      <c r="F112" s="324">
        <v>1</v>
      </c>
      <c r="G112" s="325">
        <f t="shared" si="74"/>
        <v>6.1728395061728392E-3</v>
      </c>
      <c r="H112" s="326">
        <f t="shared" si="82"/>
        <v>25000</v>
      </c>
      <c r="I112" s="322"/>
      <c r="J112" s="328">
        <f t="shared" si="75"/>
        <v>154.32098765432099</v>
      </c>
      <c r="K112" s="390"/>
      <c r="L112" s="329"/>
      <c r="M112" s="319">
        <f t="shared" si="83"/>
        <v>20</v>
      </c>
      <c r="N112" s="320" t="str">
        <f t="shared" si="84"/>
        <v>Столовая посуда</v>
      </c>
      <c r="O112" s="321" t="str">
        <f t="shared" si="85"/>
        <v>сумма в год</v>
      </c>
      <c r="P112" s="322">
        <f>0.5/81*Q112</f>
        <v>0.42592592592592593</v>
      </c>
      <c r="Q112" s="323">
        <f t="shared" si="92"/>
        <v>69</v>
      </c>
      <c r="R112" s="324">
        <v>1</v>
      </c>
      <c r="S112" s="325">
        <f t="shared" si="77"/>
        <v>6.1728395061728392E-3</v>
      </c>
      <c r="T112" s="326">
        <f t="shared" si="86"/>
        <v>25000</v>
      </c>
      <c r="U112" s="322"/>
      <c r="V112" s="328">
        <f t="shared" si="87"/>
        <v>154.32098765432099</v>
      </c>
      <c r="W112" s="390"/>
      <c r="X112" s="330"/>
      <c r="Y112" s="319">
        <v>20</v>
      </c>
      <c r="Z112" s="320" t="s">
        <v>174</v>
      </c>
      <c r="AA112" s="321" t="s">
        <v>47</v>
      </c>
      <c r="AB112" s="322">
        <v>0.5</v>
      </c>
      <c r="AC112" s="323">
        <f>AC92</f>
        <v>81</v>
      </c>
      <c r="AD112" s="324">
        <v>1</v>
      </c>
      <c r="AE112" s="325">
        <f t="shared" si="78"/>
        <v>6.1728395061728392E-3</v>
      </c>
      <c r="AF112" s="326">
        <v>25000</v>
      </c>
      <c r="AG112" s="327"/>
      <c r="AH112" s="328">
        <f t="shared" si="88"/>
        <v>154.32098765432099</v>
      </c>
      <c r="AI112" s="390"/>
      <c r="AJ112" s="331">
        <f t="shared" si="89"/>
        <v>1</v>
      </c>
      <c r="AK112" s="163">
        <f t="shared" si="90"/>
        <v>24999.999999999996</v>
      </c>
      <c r="AL112" s="332">
        <v>25000</v>
      </c>
      <c r="AM112" s="333">
        <f t="shared" si="91"/>
        <v>0</v>
      </c>
      <c r="AN112" s="334">
        <v>340</v>
      </c>
      <c r="AP112" s="335"/>
      <c r="AQ112" s="336"/>
      <c r="AR112" s="337"/>
      <c r="AS112" s="336"/>
      <c r="AT112" s="336"/>
      <c r="AU112" s="336"/>
      <c r="AV112" s="336"/>
      <c r="AW112" s="336"/>
      <c r="AX112" s="336"/>
    </row>
    <row r="113" spans="1:50" s="334" customFormat="1" ht="24.95" customHeight="1">
      <c r="A113" s="319">
        <f t="shared" si="79"/>
        <v>21</v>
      </c>
      <c r="B113" s="320" t="str">
        <f t="shared" si="80"/>
        <v>Строительные материалы</v>
      </c>
      <c r="C113" s="321" t="str">
        <f t="shared" si="81"/>
        <v>сумма в год</v>
      </c>
      <c r="D113" s="322">
        <f>0.5/81*E113</f>
        <v>7.407407407407407E-2</v>
      </c>
      <c r="E113" s="323">
        <f t="shared" si="98"/>
        <v>12</v>
      </c>
      <c r="F113" s="324">
        <v>1</v>
      </c>
      <c r="G113" s="325">
        <f t="shared" si="74"/>
        <v>6.1728395061728392E-3</v>
      </c>
      <c r="H113" s="326">
        <f t="shared" si="82"/>
        <v>99300</v>
      </c>
      <c r="I113" s="322"/>
      <c r="J113" s="328">
        <f t="shared" si="75"/>
        <v>612.96296296296293</v>
      </c>
      <c r="K113" s="390"/>
      <c r="L113" s="329"/>
      <c r="M113" s="319">
        <f t="shared" si="83"/>
        <v>21</v>
      </c>
      <c r="N113" s="320" t="str">
        <f t="shared" si="84"/>
        <v>Строительные материалы</v>
      </c>
      <c r="O113" s="321" t="str">
        <f t="shared" si="85"/>
        <v>сумма в год</v>
      </c>
      <c r="P113" s="322">
        <f>0.5/81*Q113</f>
        <v>0.42592592592592593</v>
      </c>
      <c r="Q113" s="323">
        <f t="shared" si="92"/>
        <v>69</v>
      </c>
      <c r="R113" s="324">
        <v>1</v>
      </c>
      <c r="S113" s="325">
        <f t="shared" si="77"/>
        <v>6.1728395061728392E-3</v>
      </c>
      <c r="T113" s="326">
        <f t="shared" si="86"/>
        <v>99300</v>
      </c>
      <c r="U113" s="322"/>
      <c r="V113" s="328">
        <f t="shared" si="87"/>
        <v>612.96296296296293</v>
      </c>
      <c r="W113" s="390"/>
      <c r="X113" s="330"/>
      <c r="Y113" s="319">
        <v>21</v>
      </c>
      <c r="Z113" s="320" t="s">
        <v>220</v>
      </c>
      <c r="AA113" s="321" t="s">
        <v>47</v>
      </c>
      <c r="AB113" s="322">
        <v>0.5</v>
      </c>
      <c r="AC113" s="323">
        <f t="shared" ref="AC113:AC114" si="99">AC93</f>
        <v>81</v>
      </c>
      <c r="AD113" s="324">
        <v>1</v>
      </c>
      <c r="AE113" s="325">
        <f t="shared" si="78"/>
        <v>6.1728395061728392E-3</v>
      </c>
      <c r="AF113" s="326">
        <v>99300</v>
      </c>
      <c r="AG113" s="322"/>
      <c r="AH113" s="328">
        <f t="shared" si="88"/>
        <v>612.96296296296293</v>
      </c>
      <c r="AI113" s="390"/>
      <c r="AJ113" s="331">
        <f t="shared" si="89"/>
        <v>1</v>
      </c>
      <c r="AK113" s="163">
        <f t="shared" si="90"/>
        <v>99300</v>
      </c>
      <c r="AL113" s="332">
        <v>99300</v>
      </c>
      <c r="AM113" s="333">
        <f t="shared" si="91"/>
        <v>0</v>
      </c>
      <c r="AN113" s="334">
        <v>340</v>
      </c>
      <c r="AP113" s="335"/>
      <c r="AQ113" s="336"/>
      <c r="AR113" s="337"/>
      <c r="AS113" s="336"/>
      <c r="AT113" s="336"/>
      <c r="AU113" s="336"/>
      <c r="AV113" s="336"/>
      <c r="AW113" s="336"/>
      <c r="AX113" s="336"/>
    </row>
    <row r="114" spans="1:50" s="334" customFormat="1" ht="24.95" customHeight="1">
      <c r="A114" s="319">
        <f t="shared" si="79"/>
        <v>22</v>
      </c>
      <c r="B114" s="320" t="str">
        <f t="shared" si="80"/>
        <v>Прочие материальные запасы</v>
      </c>
      <c r="C114" s="321" t="str">
        <f t="shared" si="81"/>
        <v>сумма в год</v>
      </c>
      <c r="D114" s="322">
        <f>0.5/81*E114</f>
        <v>7.407407407407407E-2</v>
      </c>
      <c r="E114" s="323">
        <f t="shared" si="98"/>
        <v>12</v>
      </c>
      <c r="F114" s="324">
        <v>1</v>
      </c>
      <c r="G114" s="325">
        <f t="shared" si="74"/>
        <v>6.1728395061728392E-3</v>
      </c>
      <c r="H114" s="326">
        <f t="shared" si="82"/>
        <v>15000</v>
      </c>
      <c r="I114" s="322"/>
      <c r="J114" s="328">
        <f t="shared" si="75"/>
        <v>92.592592592592581</v>
      </c>
      <c r="K114" s="390"/>
      <c r="L114" s="329"/>
      <c r="M114" s="319">
        <f t="shared" si="83"/>
        <v>22</v>
      </c>
      <c r="N114" s="320" t="str">
        <f t="shared" si="84"/>
        <v>Прочие материальные запасы</v>
      </c>
      <c r="O114" s="321" t="str">
        <f t="shared" si="85"/>
        <v>сумма в год</v>
      </c>
      <c r="P114" s="322">
        <f>0.5/81*Q114</f>
        <v>0.42592592592592593</v>
      </c>
      <c r="Q114" s="323">
        <f t="shared" si="92"/>
        <v>69</v>
      </c>
      <c r="R114" s="324">
        <v>1</v>
      </c>
      <c r="S114" s="325">
        <f t="shared" si="77"/>
        <v>6.1728395061728392E-3</v>
      </c>
      <c r="T114" s="326">
        <f t="shared" si="86"/>
        <v>15000</v>
      </c>
      <c r="U114" s="322"/>
      <c r="V114" s="328">
        <f t="shared" si="87"/>
        <v>92.592592592592581</v>
      </c>
      <c r="W114" s="390"/>
      <c r="X114" s="330"/>
      <c r="Y114" s="319">
        <v>22</v>
      </c>
      <c r="Z114" s="320" t="s">
        <v>144</v>
      </c>
      <c r="AA114" s="321" t="s">
        <v>47</v>
      </c>
      <c r="AB114" s="322">
        <v>0.5</v>
      </c>
      <c r="AC114" s="323">
        <f t="shared" si="99"/>
        <v>81</v>
      </c>
      <c r="AD114" s="324">
        <v>1</v>
      </c>
      <c r="AE114" s="325">
        <f t="shared" si="78"/>
        <v>6.1728395061728392E-3</v>
      </c>
      <c r="AF114" s="349">
        <v>15000</v>
      </c>
      <c r="AG114" s="322"/>
      <c r="AH114" s="328">
        <f t="shared" si="88"/>
        <v>92.592592592592581</v>
      </c>
      <c r="AI114" s="390"/>
      <c r="AJ114" s="331">
        <f t="shared" si="89"/>
        <v>1</v>
      </c>
      <c r="AK114" s="163">
        <f t="shared" si="90"/>
        <v>14999.999999999998</v>
      </c>
      <c r="AL114" s="332">
        <v>15000</v>
      </c>
      <c r="AM114" s="333">
        <f t="shared" si="91"/>
        <v>0</v>
      </c>
      <c r="AN114" s="334">
        <v>340</v>
      </c>
      <c r="AO114" s="342">
        <f>AP115-AO115</f>
        <v>0</v>
      </c>
      <c r="AP114" s="335"/>
      <c r="AQ114" s="336"/>
      <c r="AR114" s="337"/>
      <c r="AS114" s="336"/>
      <c r="AT114" s="336"/>
      <c r="AU114" s="336"/>
      <c r="AV114" s="336"/>
      <c r="AW114" s="336"/>
      <c r="AX114" s="336"/>
    </row>
    <row r="115" spans="1:50" s="334" customFormat="1" ht="18.75" customHeight="1">
      <c r="A115" s="319">
        <f t="shared" si="79"/>
        <v>23</v>
      </c>
      <c r="B115" s="320" t="str">
        <f t="shared" si="80"/>
        <v>Продукты питания</v>
      </c>
      <c r="C115" s="321" t="str">
        <f t="shared" si="81"/>
        <v>сумма в год</v>
      </c>
      <c r="D115" s="322">
        <f>0.5/81*E115</f>
        <v>7.407407407407407E-2</v>
      </c>
      <c r="E115" s="323">
        <f t="shared" si="98"/>
        <v>12</v>
      </c>
      <c r="F115" s="324">
        <v>1</v>
      </c>
      <c r="G115" s="325">
        <f t="shared" si="74"/>
        <v>6.1728395061728392E-3</v>
      </c>
      <c r="H115" s="326">
        <f t="shared" si="82"/>
        <v>3504425.24</v>
      </c>
      <c r="I115" s="322"/>
      <c r="J115" s="328">
        <f>G115*H115</f>
        <v>21632.254567901236</v>
      </c>
      <c r="K115" s="390"/>
      <c r="L115" s="329"/>
      <c r="M115" s="319">
        <f t="shared" si="83"/>
        <v>23</v>
      </c>
      <c r="N115" s="320" t="str">
        <f t="shared" si="84"/>
        <v>Продукты питания</v>
      </c>
      <c r="O115" s="321" t="str">
        <f t="shared" si="85"/>
        <v>сумма в год</v>
      </c>
      <c r="P115" s="322">
        <f>0.5/81*Q115</f>
        <v>0.42592592592592593</v>
      </c>
      <c r="Q115" s="323">
        <f t="shared" si="92"/>
        <v>69</v>
      </c>
      <c r="R115" s="324">
        <v>1</v>
      </c>
      <c r="S115" s="325">
        <f t="shared" si="77"/>
        <v>6.1728395061728392E-3</v>
      </c>
      <c r="T115" s="326">
        <f t="shared" si="86"/>
        <v>3504425.24</v>
      </c>
      <c r="U115" s="322"/>
      <c r="V115" s="328">
        <f t="shared" si="87"/>
        <v>21632.254567901236</v>
      </c>
      <c r="W115" s="390"/>
      <c r="X115" s="330"/>
      <c r="Y115" s="319">
        <v>23</v>
      </c>
      <c r="Z115" s="320" t="s">
        <v>136</v>
      </c>
      <c r="AA115" s="321" t="s">
        <v>47</v>
      </c>
      <c r="AB115" s="322">
        <v>0.5</v>
      </c>
      <c r="AC115" s="323">
        <f t="shared" ref="AC115:AC122" si="100">AC114</f>
        <v>81</v>
      </c>
      <c r="AD115" s="324">
        <v>1</v>
      </c>
      <c r="AE115" s="325">
        <f t="shared" si="78"/>
        <v>6.1728395061728392E-3</v>
      </c>
      <c r="AF115" s="349">
        <v>3504425.24</v>
      </c>
      <c r="AG115" s="322"/>
      <c r="AH115" s="328">
        <f t="shared" si="88"/>
        <v>21632.254567901236</v>
      </c>
      <c r="AI115" s="390"/>
      <c r="AJ115" s="331">
        <f t="shared" si="89"/>
        <v>1</v>
      </c>
      <c r="AK115" s="163">
        <f t="shared" si="90"/>
        <v>3504425.24</v>
      </c>
      <c r="AL115" s="332">
        <f>2595867.42+AH135</f>
        <v>3504425.2399999998</v>
      </c>
      <c r="AM115" s="333">
        <f t="shared" si="91"/>
        <v>0</v>
      </c>
      <c r="AN115" s="339">
        <v>340</v>
      </c>
      <c r="AO115" s="340">
        <f>SUM(AK92:AK93)+SUM(AK109:AK117)</f>
        <v>3817715.24</v>
      </c>
      <c r="AP115" s="341">
        <f>AH135+AG151</f>
        <v>3817715.2399999998</v>
      </c>
      <c r="AQ115" s="336"/>
      <c r="AR115" s="337"/>
      <c r="AS115" s="336"/>
      <c r="AT115" s="336"/>
      <c r="AU115" s="336"/>
      <c r="AV115" s="336"/>
      <c r="AW115" s="336"/>
      <c r="AX115" s="336"/>
    </row>
    <row r="116" spans="1:50" s="334" customFormat="1" hidden="1">
      <c r="A116" s="319">
        <f t="shared" si="79"/>
        <v>24</v>
      </c>
      <c r="B116" s="320">
        <f t="shared" si="80"/>
        <v>0</v>
      </c>
      <c r="C116" s="321">
        <f t="shared" si="81"/>
        <v>0</v>
      </c>
      <c r="D116" s="322"/>
      <c r="E116" s="323">
        <f t="shared" si="98"/>
        <v>12</v>
      </c>
      <c r="F116" s="324">
        <v>1</v>
      </c>
      <c r="G116" s="325">
        <f t="shared" si="74"/>
        <v>0</v>
      </c>
      <c r="H116" s="326">
        <f t="shared" si="82"/>
        <v>0</v>
      </c>
      <c r="I116" s="322"/>
      <c r="J116" s="328">
        <f t="shared" si="75"/>
        <v>0</v>
      </c>
      <c r="K116" s="390"/>
      <c r="L116" s="329"/>
      <c r="M116" s="319">
        <f t="shared" si="83"/>
        <v>24</v>
      </c>
      <c r="N116" s="320">
        <f t="shared" si="84"/>
        <v>0</v>
      </c>
      <c r="O116" s="321">
        <f t="shared" si="85"/>
        <v>0</v>
      </c>
      <c r="P116" s="322"/>
      <c r="Q116" s="323">
        <f t="shared" si="92"/>
        <v>69</v>
      </c>
      <c r="R116" s="324">
        <v>1</v>
      </c>
      <c r="S116" s="325">
        <f t="shared" si="77"/>
        <v>0</v>
      </c>
      <c r="T116" s="326">
        <f t="shared" si="86"/>
        <v>0</v>
      </c>
      <c r="U116" s="322"/>
      <c r="V116" s="328">
        <f t="shared" si="87"/>
        <v>0</v>
      </c>
      <c r="W116" s="390"/>
      <c r="X116" s="330"/>
      <c r="Y116" s="319">
        <v>24</v>
      </c>
      <c r="Z116" s="350"/>
      <c r="AA116" s="351"/>
      <c r="AB116" s="322"/>
      <c r="AC116" s="323">
        <f t="shared" si="100"/>
        <v>81</v>
      </c>
      <c r="AD116" s="324">
        <v>1</v>
      </c>
      <c r="AE116" s="325">
        <f t="shared" si="78"/>
        <v>0</v>
      </c>
      <c r="AF116" s="349"/>
      <c r="AG116" s="322"/>
      <c r="AH116" s="328">
        <f t="shared" si="88"/>
        <v>0</v>
      </c>
      <c r="AI116" s="390"/>
      <c r="AJ116" s="331">
        <f t="shared" si="89"/>
        <v>0</v>
      </c>
      <c r="AK116" s="163">
        <f t="shared" si="90"/>
        <v>0</v>
      </c>
      <c r="AL116" s="237"/>
      <c r="AM116" s="333">
        <f t="shared" si="91"/>
        <v>0</v>
      </c>
      <c r="AN116" s="334">
        <v>340</v>
      </c>
      <c r="AP116" s="335"/>
      <c r="AQ116" s="336"/>
      <c r="AR116" s="337"/>
      <c r="AS116" s="336"/>
      <c r="AT116" s="336"/>
      <c r="AU116" s="336"/>
      <c r="AV116" s="336"/>
      <c r="AW116" s="336"/>
      <c r="AX116" s="336"/>
    </row>
    <row r="117" spans="1:50" s="334" customFormat="1" hidden="1">
      <c r="A117" s="319">
        <f t="shared" si="79"/>
        <v>25</v>
      </c>
      <c r="B117" s="320">
        <f t="shared" si="80"/>
        <v>0</v>
      </c>
      <c r="C117" s="321">
        <f t="shared" si="81"/>
        <v>0</v>
      </c>
      <c r="D117" s="322"/>
      <c r="E117" s="323">
        <f t="shared" si="98"/>
        <v>12</v>
      </c>
      <c r="F117" s="324">
        <v>1</v>
      </c>
      <c r="G117" s="325">
        <f t="shared" si="74"/>
        <v>0</v>
      </c>
      <c r="H117" s="326">
        <f t="shared" si="82"/>
        <v>0</v>
      </c>
      <c r="I117" s="322"/>
      <c r="J117" s="328">
        <f t="shared" si="75"/>
        <v>0</v>
      </c>
      <c r="K117" s="390"/>
      <c r="L117" s="329"/>
      <c r="M117" s="319">
        <f t="shared" si="83"/>
        <v>25</v>
      </c>
      <c r="N117" s="320">
        <f t="shared" si="84"/>
        <v>0</v>
      </c>
      <c r="O117" s="321">
        <f t="shared" si="85"/>
        <v>0</v>
      </c>
      <c r="P117" s="322"/>
      <c r="Q117" s="323">
        <f t="shared" si="92"/>
        <v>69</v>
      </c>
      <c r="R117" s="324">
        <v>1</v>
      </c>
      <c r="S117" s="325">
        <f t="shared" si="77"/>
        <v>0</v>
      </c>
      <c r="T117" s="326">
        <f t="shared" si="86"/>
        <v>0</v>
      </c>
      <c r="U117" s="322"/>
      <c r="V117" s="328">
        <f t="shared" si="87"/>
        <v>0</v>
      </c>
      <c r="W117" s="390"/>
      <c r="X117" s="330"/>
      <c r="Y117" s="319">
        <v>25</v>
      </c>
      <c r="Z117" s="320"/>
      <c r="AA117" s="321"/>
      <c r="AB117" s="322"/>
      <c r="AC117" s="323">
        <f t="shared" si="100"/>
        <v>81</v>
      </c>
      <c r="AD117" s="324">
        <v>1</v>
      </c>
      <c r="AE117" s="325">
        <f t="shared" si="78"/>
        <v>0</v>
      </c>
      <c r="AF117" s="326"/>
      <c r="AG117" s="322"/>
      <c r="AH117" s="328">
        <f t="shared" si="88"/>
        <v>0</v>
      </c>
      <c r="AI117" s="390"/>
      <c r="AJ117" s="331">
        <f t="shared" si="89"/>
        <v>0</v>
      </c>
      <c r="AK117" s="163">
        <f t="shared" si="90"/>
        <v>0</v>
      </c>
      <c r="AL117" s="237"/>
      <c r="AM117" s="333">
        <f t="shared" si="91"/>
        <v>0</v>
      </c>
      <c r="AN117" s="334">
        <v>340</v>
      </c>
      <c r="AP117" s="335"/>
      <c r="AQ117" s="336"/>
      <c r="AR117" s="337"/>
      <c r="AS117" s="336"/>
      <c r="AT117" s="336"/>
      <c r="AU117" s="336"/>
      <c r="AV117" s="336"/>
      <c r="AW117" s="336"/>
      <c r="AX117" s="336"/>
    </row>
    <row r="118" spans="1:50" s="334" customFormat="1" hidden="1">
      <c r="A118" s="319">
        <f t="shared" si="79"/>
        <v>26</v>
      </c>
      <c r="B118" s="320">
        <f t="shared" si="80"/>
        <v>0</v>
      </c>
      <c r="C118" s="321">
        <f t="shared" si="81"/>
        <v>0</v>
      </c>
      <c r="D118" s="322"/>
      <c r="E118" s="323">
        <f t="shared" si="98"/>
        <v>12</v>
      </c>
      <c r="F118" s="324">
        <v>1</v>
      </c>
      <c r="G118" s="325">
        <f t="shared" si="74"/>
        <v>0</v>
      </c>
      <c r="H118" s="326">
        <f t="shared" si="82"/>
        <v>0</v>
      </c>
      <c r="I118" s="322"/>
      <c r="J118" s="328">
        <f t="shared" si="75"/>
        <v>0</v>
      </c>
      <c r="K118" s="390"/>
      <c r="L118" s="329"/>
      <c r="M118" s="319">
        <f t="shared" si="83"/>
        <v>26</v>
      </c>
      <c r="N118" s="320">
        <f t="shared" si="84"/>
        <v>0</v>
      </c>
      <c r="O118" s="321">
        <f t="shared" si="85"/>
        <v>0</v>
      </c>
      <c r="P118" s="322"/>
      <c r="Q118" s="323">
        <f t="shared" si="92"/>
        <v>69</v>
      </c>
      <c r="R118" s="324">
        <v>1</v>
      </c>
      <c r="S118" s="325">
        <f t="shared" si="77"/>
        <v>0</v>
      </c>
      <c r="T118" s="326">
        <f t="shared" si="86"/>
        <v>0</v>
      </c>
      <c r="U118" s="322"/>
      <c r="V118" s="328">
        <f t="shared" si="87"/>
        <v>0</v>
      </c>
      <c r="W118" s="390"/>
      <c r="X118" s="330"/>
      <c r="Y118" s="319">
        <v>26</v>
      </c>
      <c r="Z118" s="350"/>
      <c r="AA118" s="321"/>
      <c r="AB118" s="322"/>
      <c r="AC118" s="323">
        <f t="shared" si="100"/>
        <v>81</v>
      </c>
      <c r="AD118" s="324">
        <v>1</v>
      </c>
      <c r="AE118" s="325">
        <f t="shared" si="78"/>
        <v>0</v>
      </c>
      <c r="AF118" s="326"/>
      <c r="AG118" s="327"/>
      <c r="AH118" s="328">
        <f t="shared" si="88"/>
        <v>0</v>
      </c>
      <c r="AI118" s="390"/>
      <c r="AJ118" s="331">
        <f t="shared" si="89"/>
        <v>0</v>
      </c>
      <c r="AK118" s="163">
        <f t="shared" si="90"/>
        <v>0</v>
      </c>
      <c r="AL118" s="352"/>
      <c r="AM118" s="333">
        <f t="shared" si="91"/>
        <v>0</v>
      </c>
      <c r="AN118" s="334">
        <v>310</v>
      </c>
      <c r="AP118" s="335"/>
      <c r="AQ118" s="336"/>
      <c r="AR118" s="337"/>
      <c r="AS118" s="336"/>
      <c r="AT118" s="336"/>
      <c r="AU118" s="336"/>
      <c r="AV118" s="336"/>
      <c r="AW118" s="336"/>
      <c r="AX118" s="336"/>
    </row>
    <row r="119" spans="1:50" s="334" customFormat="1" hidden="1">
      <c r="A119" s="319">
        <f t="shared" si="79"/>
        <v>27</v>
      </c>
      <c r="B119" s="320">
        <f t="shared" si="80"/>
        <v>0</v>
      </c>
      <c r="C119" s="321">
        <f t="shared" si="81"/>
        <v>0</v>
      </c>
      <c r="D119" s="322"/>
      <c r="E119" s="323">
        <f t="shared" si="98"/>
        <v>12</v>
      </c>
      <c r="F119" s="324">
        <v>1</v>
      </c>
      <c r="G119" s="325">
        <f t="shared" si="74"/>
        <v>0</v>
      </c>
      <c r="H119" s="326">
        <f t="shared" si="82"/>
        <v>0</v>
      </c>
      <c r="I119" s="322"/>
      <c r="J119" s="328">
        <f t="shared" si="75"/>
        <v>0</v>
      </c>
      <c r="K119" s="390"/>
      <c r="L119" s="329"/>
      <c r="M119" s="319">
        <f t="shared" si="83"/>
        <v>27</v>
      </c>
      <c r="N119" s="320">
        <f t="shared" si="84"/>
        <v>0</v>
      </c>
      <c r="O119" s="321">
        <f t="shared" si="85"/>
        <v>0</v>
      </c>
      <c r="P119" s="322"/>
      <c r="Q119" s="323">
        <f t="shared" si="92"/>
        <v>69</v>
      </c>
      <c r="R119" s="324">
        <v>1</v>
      </c>
      <c r="S119" s="325">
        <f t="shared" si="77"/>
        <v>0</v>
      </c>
      <c r="T119" s="326">
        <f t="shared" si="86"/>
        <v>0</v>
      </c>
      <c r="U119" s="322"/>
      <c r="V119" s="328">
        <f t="shared" si="87"/>
        <v>0</v>
      </c>
      <c r="W119" s="390"/>
      <c r="X119" s="330"/>
      <c r="Y119" s="319">
        <v>27</v>
      </c>
      <c r="Z119" s="320"/>
      <c r="AA119" s="321"/>
      <c r="AB119" s="322"/>
      <c r="AC119" s="323">
        <f t="shared" si="100"/>
        <v>81</v>
      </c>
      <c r="AD119" s="324">
        <v>1</v>
      </c>
      <c r="AE119" s="325">
        <f t="shared" si="78"/>
        <v>0</v>
      </c>
      <c r="AF119" s="326"/>
      <c r="AG119" s="327"/>
      <c r="AH119" s="328">
        <f t="shared" si="88"/>
        <v>0</v>
      </c>
      <c r="AI119" s="390"/>
      <c r="AJ119" s="331">
        <f t="shared" si="89"/>
        <v>0</v>
      </c>
      <c r="AK119" s="163">
        <f t="shared" si="90"/>
        <v>0</v>
      </c>
      <c r="AL119" s="352"/>
      <c r="AM119" s="333">
        <f t="shared" si="91"/>
        <v>0</v>
      </c>
      <c r="AN119" s="334">
        <v>310</v>
      </c>
      <c r="AP119" s="335"/>
      <c r="AQ119" s="336"/>
      <c r="AR119" s="337"/>
      <c r="AS119" s="336"/>
      <c r="AT119" s="336"/>
      <c r="AU119" s="336"/>
      <c r="AV119" s="336"/>
      <c r="AW119" s="336"/>
      <c r="AX119" s="336"/>
    </row>
    <row r="120" spans="1:50" s="334" customFormat="1" hidden="1">
      <c r="A120" s="319">
        <f t="shared" si="79"/>
        <v>28</v>
      </c>
      <c r="B120" s="320">
        <f t="shared" si="80"/>
        <v>0</v>
      </c>
      <c r="C120" s="321">
        <f t="shared" si="81"/>
        <v>0</v>
      </c>
      <c r="D120" s="322"/>
      <c r="E120" s="323">
        <f t="shared" si="98"/>
        <v>12</v>
      </c>
      <c r="F120" s="324">
        <v>1</v>
      </c>
      <c r="G120" s="325">
        <f t="shared" si="74"/>
        <v>0</v>
      </c>
      <c r="H120" s="326">
        <f t="shared" si="82"/>
        <v>0</v>
      </c>
      <c r="I120" s="322"/>
      <c r="J120" s="328">
        <f t="shared" si="75"/>
        <v>0</v>
      </c>
      <c r="K120" s="390"/>
      <c r="L120" s="329"/>
      <c r="M120" s="319">
        <f t="shared" si="83"/>
        <v>28</v>
      </c>
      <c r="N120" s="320">
        <f t="shared" si="84"/>
        <v>0</v>
      </c>
      <c r="O120" s="321">
        <f t="shared" si="85"/>
        <v>0</v>
      </c>
      <c r="P120" s="322"/>
      <c r="Q120" s="323">
        <f t="shared" si="92"/>
        <v>69</v>
      </c>
      <c r="R120" s="324">
        <v>1</v>
      </c>
      <c r="S120" s="325">
        <f t="shared" si="77"/>
        <v>0</v>
      </c>
      <c r="T120" s="326">
        <f t="shared" si="86"/>
        <v>0</v>
      </c>
      <c r="U120" s="322"/>
      <c r="V120" s="328">
        <f t="shared" si="87"/>
        <v>0</v>
      </c>
      <c r="W120" s="390"/>
      <c r="X120" s="330"/>
      <c r="Y120" s="319">
        <v>28</v>
      </c>
      <c r="Z120" s="320"/>
      <c r="AA120" s="321"/>
      <c r="AB120" s="322"/>
      <c r="AC120" s="323">
        <f t="shared" si="100"/>
        <v>81</v>
      </c>
      <c r="AD120" s="324">
        <v>1</v>
      </c>
      <c r="AE120" s="325">
        <f t="shared" si="78"/>
        <v>0</v>
      </c>
      <c r="AF120" s="326"/>
      <c r="AG120" s="327"/>
      <c r="AH120" s="328">
        <f t="shared" si="88"/>
        <v>0</v>
      </c>
      <c r="AI120" s="390"/>
      <c r="AJ120" s="331">
        <f t="shared" si="89"/>
        <v>0</v>
      </c>
      <c r="AK120" s="163">
        <f t="shared" si="90"/>
        <v>0</v>
      </c>
      <c r="AL120" s="352"/>
      <c r="AM120" s="333">
        <f t="shared" si="91"/>
        <v>0</v>
      </c>
      <c r="AN120" s="334">
        <v>310</v>
      </c>
      <c r="AP120" s="335"/>
      <c r="AQ120" s="336"/>
      <c r="AR120" s="337"/>
      <c r="AS120" s="336"/>
      <c r="AT120" s="336"/>
      <c r="AU120" s="336"/>
      <c r="AV120" s="336"/>
      <c r="AW120" s="336"/>
      <c r="AX120" s="336"/>
    </row>
    <row r="121" spans="1:50" s="334" customFormat="1" hidden="1">
      <c r="A121" s="319">
        <f t="shared" si="79"/>
        <v>29</v>
      </c>
      <c r="B121" s="320">
        <f t="shared" si="80"/>
        <v>0</v>
      </c>
      <c r="C121" s="321">
        <f t="shared" si="81"/>
        <v>0</v>
      </c>
      <c r="D121" s="322"/>
      <c r="E121" s="323">
        <f t="shared" si="98"/>
        <v>12</v>
      </c>
      <c r="F121" s="324">
        <v>1</v>
      </c>
      <c r="G121" s="325">
        <f t="shared" si="74"/>
        <v>0</v>
      </c>
      <c r="H121" s="326">
        <f t="shared" si="82"/>
        <v>0</v>
      </c>
      <c r="I121" s="322"/>
      <c r="J121" s="328">
        <f t="shared" si="75"/>
        <v>0</v>
      </c>
      <c r="K121" s="390"/>
      <c r="L121" s="329"/>
      <c r="M121" s="319">
        <f t="shared" si="83"/>
        <v>29</v>
      </c>
      <c r="N121" s="320">
        <f t="shared" si="84"/>
        <v>0</v>
      </c>
      <c r="O121" s="321">
        <f t="shared" si="85"/>
        <v>0</v>
      </c>
      <c r="P121" s="322"/>
      <c r="Q121" s="323">
        <f t="shared" si="92"/>
        <v>69</v>
      </c>
      <c r="R121" s="324">
        <v>1</v>
      </c>
      <c r="S121" s="325">
        <f t="shared" si="77"/>
        <v>0</v>
      </c>
      <c r="T121" s="326">
        <f t="shared" si="86"/>
        <v>0</v>
      </c>
      <c r="U121" s="322"/>
      <c r="V121" s="328">
        <f t="shared" si="87"/>
        <v>0</v>
      </c>
      <c r="W121" s="390"/>
      <c r="X121" s="330"/>
      <c r="Y121" s="319">
        <v>29</v>
      </c>
      <c r="Z121" s="350"/>
      <c r="AA121" s="351"/>
      <c r="AB121" s="322"/>
      <c r="AC121" s="323">
        <f t="shared" si="100"/>
        <v>81</v>
      </c>
      <c r="AD121" s="324">
        <v>1</v>
      </c>
      <c r="AE121" s="325">
        <f t="shared" si="78"/>
        <v>0</v>
      </c>
      <c r="AF121" s="326"/>
      <c r="AG121" s="322"/>
      <c r="AH121" s="328">
        <f t="shared" si="88"/>
        <v>0</v>
      </c>
      <c r="AI121" s="390"/>
      <c r="AJ121" s="331">
        <f t="shared" si="89"/>
        <v>0</v>
      </c>
      <c r="AK121" s="163">
        <f t="shared" si="90"/>
        <v>0</v>
      </c>
      <c r="AL121" s="352"/>
      <c r="AM121" s="333">
        <f t="shared" si="91"/>
        <v>0</v>
      </c>
      <c r="AN121" s="334">
        <v>310</v>
      </c>
      <c r="AP121" s="335"/>
      <c r="AQ121" s="336"/>
      <c r="AR121" s="337"/>
      <c r="AS121" s="336"/>
      <c r="AT121" s="336"/>
      <c r="AU121" s="336"/>
      <c r="AV121" s="336"/>
      <c r="AW121" s="336"/>
      <c r="AX121" s="336"/>
    </row>
    <row r="122" spans="1:50" s="334" customFormat="1" hidden="1">
      <c r="A122" s="319">
        <f t="shared" ref="A122:A127" si="101">M122</f>
        <v>30</v>
      </c>
      <c r="B122" s="320">
        <f t="shared" ref="B122:B127" si="102">N122</f>
        <v>0</v>
      </c>
      <c r="C122" s="321">
        <f t="shared" ref="C122:C127" si="103">O122</f>
        <v>0</v>
      </c>
      <c r="D122" s="322"/>
      <c r="E122" s="323">
        <f t="shared" si="98"/>
        <v>12</v>
      </c>
      <c r="F122" s="324">
        <v>1</v>
      </c>
      <c r="G122" s="325">
        <f t="shared" si="74"/>
        <v>0</v>
      </c>
      <c r="H122" s="326">
        <f t="shared" si="82"/>
        <v>0</v>
      </c>
      <c r="I122" s="322"/>
      <c r="J122" s="328">
        <f t="shared" si="75"/>
        <v>0</v>
      </c>
      <c r="K122" s="390"/>
      <c r="L122" s="329"/>
      <c r="M122" s="319">
        <f t="shared" si="83"/>
        <v>30</v>
      </c>
      <c r="N122" s="320">
        <f t="shared" si="84"/>
        <v>0</v>
      </c>
      <c r="O122" s="321">
        <f t="shared" si="85"/>
        <v>0</v>
      </c>
      <c r="P122" s="322"/>
      <c r="Q122" s="323">
        <f t="shared" si="92"/>
        <v>69</v>
      </c>
      <c r="R122" s="324">
        <v>1</v>
      </c>
      <c r="S122" s="325">
        <f t="shared" si="77"/>
        <v>0</v>
      </c>
      <c r="T122" s="326">
        <f t="shared" si="86"/>
        <v>0</v>
      </c>
      <c r="U122" s="322"/>
      <c r="V122" s="328">
        <f t="shared" si="87"/>
        <v>0</v>
      </c>
      <c r="W122" s="390"/>
      <c r="X122" s="330"/>
      <c r="Y122" s="319">
        <v>30</v>
      </c>
      <c r="Z122" s="350"/>
      <c r="AA122" s="351"/>
      <c r="AB122" s="322"/>
      <c r="AC122" s="323">
        <f t="shared" si="100"/>
        <v>81</v>
      </c>
      <c r="AD122" s="324">
        <v>1</v>
      </c>
      <c r="AE122" s="325">
        <f t="shared" si="78"/>
        <v>0</v>
      </c>
      <c r="AF122" s="349"/>
      <c r="AG122" s="322"/>
      <c r="AH122" s="328">
        <f t="shared" si="88"/>
        <v>0</v>
      </c>
      <c r="AI122" s="390"/>
      <c r="AJ122" s="331">
        <f t="shared" si="89"/>
        <v>0</v>
      </c>
      <c r="AK122" s="163">
        <f t="shared" si="90"/>
        <v>0</v>
      </c>
      <c r="AL122" s="352"/>
      <c r="AM122" s="333">
        <f t="shared" si="91"/>
        <v>0</v>
      </c>
      <c r="AN122" s="334">
        <v>310</v>
      </c>
      <c r="AP122" s="335"/>
      <c r="AQ122" s="336"/>
      <c r="AR122" s="337"/>
      <c r="AS122" s="336"/>
      <c r="AT122" s="336"/>
      <c r="AU122" s="336"/>
      <c r="AV122" s="336"/>
      <c r="AW122" s="336"/>
      <c r="AX122" s="336"/>
    </row>
    <row r="123" spans="1:50" s="334" customFormat="1" hidden="1">
      <c r="A123" s="319">
        <f t="shared" si="101"/>
        <v>31</v>
      </c>
      <c r="B123" s="320">
        <f t="shared" si="102"/>
        <v>0</v>
      </c>
      <c r="C123" s="321">
        <f t="shared" si="103"/>
        <v>0</v>
      </c>
      <c r="D123" s="322"/>
      <c r="E123" s="323">
        <f t="shared" si="98"/>
        <v>12</v>
      </c>
      <c r="F123" s="324">
        <v>1</v>
      </c>
      <c r="G123" s="325">
        <f t="shared" si="74"/>
        <v>0</v>
      </c>
      <c r="H123" s="326">
        <f t="shared" si="82"/>
        <v>0</v>
      </c>
      <c r="I123" s="327"/>
      <c r="J123" s="328">
        <f t="shared" si="75"/>
        <v>0</v>
      </c>
      <c r="K123" s="390"/>
      <c r="L123" s="329"/>
      <c r="M123" s="319">
        <f t="shared" ref="M123:M127" si="104">Y123</f>
        <v>31</v>
      </c>
      <c r="N123" s="320">
        <f t="shared" ref="N123:N127" si="105">Z123</f>
        <v>0</v>
      </c>
      <c r="O123" s="321">
        <f t="shared" si="85"/>
        <v>0</v>
      </c>
      <c r="P123" s="322"/>
      <c r="Q123" s="323">
        <f t="shared" si="92"/>
        <v>69</v>
      </c>
      <c r="R123" s="324">
        <v>1</v>
      </c>
      <c r="S123" s="325">
        <f t="shared" si="77"/>
        <v>0</v>
      </c>
      <c r="T123" s="326">
        <f t="shared" si="86"/>
        <v>0</v>
      </c>
      <c r="U123" s="327"/>
      <c r="V123" s="328">
        <f t="shared" si="87"/>
        <v>0</v>
      </c>
      <c r="W123" s="390"/>
      <c r="X123" s="330"/>
      <c r="Y123" s="319">
        <v>31</v>
      </c>
      <c r="Z123" s="320"/>
      <c r="AA123" s="321"/>
      <c r="AB123" s="322"/>
      <c r="AC123" s="323">
        <f>AC122</f>
        <v>81</v>
      </c>
      <c r="AD123" s="324">
        <v>1</v>
      </c>
      <c r="AE123" s="325">
        <f t="shared" si="78"/>
        <v>0</v>
      </c>
      <c r="AF123" s="326"/>
      <c r="AG123" s="327"/>
      <c r="AH123" s="328">
        <f t="shared" si="88"/>
        <v>0</v>
      </c>
      <c r="AI123" s="390"/>
      <c r="AJ123" s="331">
        <f t="shared" si="89"/>
        <v>0</v>
      </c>
      <c r="AK123" s="163">
        <f t="shared" si="90"/>
        <v>0</v>
      </c>
      <c r="AL123" s="352"/>
      <c r="AM123" s="333">
        <f t="shared" si="91"/>
        <v>0</v>
      </c>
      <c r="AN123" s="334">
        <v>310</v>
      </c>
      <c r="AP123" s="335"/>
      <c r="AQ123" s="336"/>
      <c r="AR123" s="337"/>
      <c r="AS123" s="336"/>
      <c r="AT123" s="336"/>
      <c r="AU123" s="336"/>
      <c r="AV123" s="336"/>
      <c r="AW123" s="336"/>
      <c r="AX123" s="336"/>
    </row>
    <row r="124" spans="1:50" s="334" customFormat="1" hidden="1">
      <c r="A124" s="319">
        <f t="shared" si="101"/>
        <v>32</v>
      </c>
      <c r="B124" s="320">
        <f t="shared" si="102"/>
        <v>0</v>
      </c>
      <c r="C124" s="321">
        <f t="shared" si="103"/>
        <v>0</v>
      </c>
      <c r="D124" s="322"/>
      <c r="E124" s="323">
        <f t="shared" si="98"/>
        <v>12</v>
      </c>
      <c r="F124" s="324">
        <v>1</v>
      </c>
      <c r="G124" s="325">
        <f t="shared" si="74"/>
        <v>0</v>
      </c>
      <c r="H124" s="326">
        <f t="shared" si="82"/>
        <v>0</v>
      </c>
      <c r="I124" s="327"/>
      <c r="J124" s="328">
        <f t="shared" si="75"/>
        <v>0</v>
      </c>
      <c r="K124" s="390"/>
      <c r="L124" s="329"/>
      <c r="M124" s="319">
        <f t="shared" si="104"/>
        <v>32</v>
      </c>
      <c r="N124" s="320">
        <f t="shared" si="105"/>
        <v>0</v>
      </c>
      <c r="O124" s="321">
        <f t="shared" si="85"/>
        <v>0</v>
      </c>
      <c r="P124" s="322"/>
      <c r="Q124" s="323">
        <f t="shared" si="92"/>
        <v>69</v>
      </c>
      <c r="R124" s="324">
        <v>1</v>
      </c>
      <c r="S124" s="325">
        <f t="shared" si="77"/>
        <v>0</v>
      </c>
      <c r="T124" s="326">
        <f t="shared" si="86"/>
        <v>0</v>
      </c>
      <c r="U124" s="327"/>
      <c r="V124" s="328">
        <f t="shared" si="87"/>
        <v>0</v>
      </c>
      <c r="W124" s="390"/>
      <c r="X124" s="330"/>
      <c r="Y124" s="319">
        <v>32</v>
      </c>
      <c r="Z124" s="320"/>
      <c r="AA124" s="321"/>
      <c r="AB124" s="322"/>
      <c r="AC124" s="323">
        <f t="shared" ref="AC124:AC126" si="106">AC123</f>
        <v>81</v>
      </c>
      <c r="AD124" s="324">
        <v>1</v>
      </c>
      <c r="AE124" s="325">
        <f t="shared" si="78"/>
        <v>0</v>
      </c>
      <c r="AF124" s="326"/>
      <c r="AG124" s="327"/>
      <c r="AH124" s="328">
        <f t="shared" si="88"/>
        <v>0</v>
      </c>
      <c r="AI124" s="390"/>
      <c r="AJ124" s="331">
        <f t="shared" si="89"/>
        <v>0</v>
      </c>
      <c r="AK124" s="163">
        <f t="shared" si="90"/>
        <v>0</v>
      </c>
      <c r="AL124" s="352"/>
      <c r="AM124" s="333">
        <f t="shared" si="91"/>
        <v>0</v>
      </c>
      <c r="AN124" s="334">
        <v>310</v>
      </c>
      <c r="AP124" s="335"/>
      <c r="AQ124" s="336"/>
      <c r="AR124" s="337"/>
      <c r="AS124" s="336"/>
      <c r="AT124" s="336"/>
      <c r="AU124" s="336"/>
      <c r="AV124" s="336"/>
      <c r="AW124" s="336"/>
      <c r="AX124" s="336"/>
    </row>
    <row r="125" spans="1:50" s="334" customFormat="1" hidden="1">
      <c r="A125" s="319">
        <f t="shared" si="101"/>
        <v>33</v>
      </c>
      <c r="B125" s="320">
        <f t="shared" si="102"/>
        <v>0</v>
      </c>
      <c r="C125" s="321">
        <f t="shared" si="103"/>
        <v>0</v>
      </c>
      <c r="D125" s="322"/>
      <c r="E125" s="323">
        <f t="shared" si="98"/>
        <v>12</v>
      </c>
      <c r="F125" s="324">
        <v>1</v>
      </c>
      <c r="G125" s="325">
        <f t="shared" si="74"/>
        <v>0</v>
      </c>
      <c r="H125" s="326">
        <f t="shared" si="82"/>
        <v>0</v>
      </c>
      <c r="I125" s="327"/>
      <c r="J125" s="328">
        <f t="shared" si="75"/>
        <v>0</v>
      </c>
      <c r="K125" s="390"/>
      <c r="L125" s="329"/>
      <c r="M125" s="319">
        <f t="shared" si="104"/>
        <v>33</v>
      </c>
      <c r="N125" s="320">
        <f t="shared" si="105"/>
        <v>0</v>
      </c>
      <c r="O125" s="321">
        <f t="shared" si="85"/>
        <v>0</v>
      </c>
      <c r="P125" s="322"/>
      <c r="Q125" s="323">
        <f t="shared" si="92"/>
        <v>69</v>
      </c>
      <c r="R125" s="324">
        <v>1</v>
      </c>
      <c r="S125" s="325">
        <f t="shared" si="77"/>
        <v>0</v>
      </c>
      <c r="T125" s="326">
        <f t="shared" si="86"/>
        <v>0</v>
      </c>
      <c r="U125" s="327"/>
      <c r="V125" s="328">
        <f t="shared" si="87"/>
        <v>0</v>
      </c>
      <c r="W125" s="390"/>
      <c r="X125" s="330"/>
      <c r="Y125" s="319">
        <v>33</v>
      </c>
      <c r="Z125" s="320"/>
      <c r="AA125" s="321"/>
      <c r="AB125" s="322"/>
      <c r="AC125" s="323">
        <f t="shared" si="106"/>
        <v>81</v>
      </c>
      <c r="AD125" s="324">
        <v>1</v>
      </c>
      <c r="AE125" s="325">
        <f t="shared" si="78"/>
        <v>0</v>
      </c>
      <c r="AF125" s="326"/>
      <c r="AG125" s="327"/>
      <c r="AH125" s="328">
        <f t="shared" si="88"/>
        <v>0</v>
      </c>
      <c r="AI125" s="390"/>
      <c r="AJ125" s="331">
        <f t="shared" si="89"/>
        <v>0</v>
      </c>
      <c r="AK125" s="163">
        <f t="shared" si="90"/>
        <v>0</v>
      </c>
      <c r="AL125" s="352"/>
      <c r="AM125" s="333">
        <f t="shared" si="91"/>
        <v>0</v>
      </c>
      <c r="AN125" s="334">
        <v>310</v>
      </c>
      <c r="AP125" s="335"/>
      <c r="AQ125" s="336"/>
      <c r="AR125" s="337"/>
      <c r="AS125" s="336"/>
      <c r="AT125" s="336"/>
      <c r="AU125" s="336"/>
      <c r="AV125" s="336"/>
      <c r="AW125" s="336"/>
      <c r="AX125" s="336"/>
    </row>
    <row r="126" spans="1:50" s="334" customFormat="1" hidden="1">
      <c r="A126" s="319">
        <f t="shared" si="101"/>
        <v>34</v>
      </c>
      <c r="B126" s="320">
        <f t="shared" si="102"/>
        <v>0</v>
      </c>
      <c r="C126" s="321">
        <f t="shared" si="103"/>
        <v>0</v>
      </c>
      <c r="D126" s="322"/>
      <c r="E126" s="323">
        <f t="shared" si="98"/>
        <v>12</v>
      </c>
      <c r="F126" s="324">
        <v>1</v>
      </c>
      <c r="G126" s="325">
        <f t="shared" si="74"/>
        <v>0</v>
      </c>
      <c r="H126" s="326">
        <f t="shared" si="82"/>
        <v>0</v>
      </c>
      <c r="I126" s="327"/>
      <c r="J126" s="328">
        <f t="shared" si="75"/>
        <v>0</v>
      </c>
      <c r="K126" s="390"/>
      <c r="L126" s="329"/>
      <c r="M126" s="319">
        <f t="shared" si="104"/>
        <v>34</v>
      </c>
      <c r="N126" s="320">
        <f t="shared" si="105"/>
        <v>0</v>
      </c>
      <c r="O126" s="321">
        <f t="shared" si="85"/>
        <v>0</v>
      </c>
      <c r="P126" s="322"/>
      <c r="Q126" s="323">
        <f t="shared" si="92"/>
        <v>69</v>
      </c>
      <c r="R126" s="324">
        <v>1</v>
      </c>
      <c r="S126" s="325">
        <f t="shared" si="77"/>
        <v>0</v>
      </c>
      <c r="T126" s="326">
        <f t="shared" si="86"/>
        <v>0</v>
      </c>
      <c r="U126" s="327"/>
      <c r="V126" s="328">
        <f t="shared" si="87"/>
        <v>0</v>
      </c>
      <c r="W126" s="390"/>
      <c r="X126" s="330"/>
      <c r="Y126" s="319">
        <v>34</v>
      </c>
      <c r="Z126" s="320"/>
      <c r="AA126" s="321"/>
      <c r="AB126" s="322"/>
      <c r="AC126" s="323">
        <f t="shared" si="106"/>
        <v>81</v>
      </c>
      <c r="AD126" s="324">
        <v>1</v>
      </c>
      <c r="AE126" s="325">
        <f t="shared" si="78"/>
        <v>0</v>
      </c>
      <c r="AF126" s="326"/>
      <c r="AG126" s="327"/>
      <c r="AH126" s="328">
        <f t="shared" si="88"/>
        <v>0</v>
      </c>
      <c r="AI126" s="390"/>
      <c r="AJ126" s="331">
        <f t="shared" si="89"/>
        <v>0</v>
      </c>
      <c r="AK126" s="163">
        <f t="shared" si="90"/>
        <v>0</v>
      </c>
      <c r="AL126" s="352"/>
      <c r="AM126" s="333">
        <f t="shared" si="91"/>
        <v>0</v>
      </c>
      <c r="AN126" s="334">
        <v>310</v>
      </c>
      <c r="AP126" s="335"/>
      <c r="AQ126" s="336"/>
      <c r="AR126" s="337"/>
      <c r="AS126" s="336"/>
      <c r="AT126" s="336"/>
      <c r="AU126" s="336"/>
      <c r="AV126" s="336"/>
      <c r="AW126" s="336"/>
      <c r="AX126" s="336"/>
    </row>
    <row r="127" spans="1:50" s="334" customFormat="1" ht="35.25" hidden="1">
      <c r="A127" s="319">
        <f t="shared" si="101"/>
        <v>35</v>
      </c>
      <c r="B127" s="320">
        <f t="shared" si="102"/>
        <v>0</v>
      </c>
      <c r="C127" s="321">
        <f t="shared" si="103"/>
        <v>0</v>
      </c>
      <c r="D127" s="322"/>
      <c r="E127" s="323">
        <f t="shared" si="98"/>
        <v>12</v>
      </c>
      <c r="F127" s="324">
        <v>1</v>
      </c>
      <c r="G127" s="325">
        <f t="shared" si="74"/>
        <v>0</v>
      </c>
      <c r="H127" s="326">
        <f t="shared" si="82"/>
        <v>0</v>
      </c>
      <c r="I127" s="327"/>
      <c r="J127" s="328">
        <f t="shared" si="75"/>
        <v>0</v>
      </c>
      <c r="K127" s="390"/>
      <c r="L127" s="329"/>
      <c r="M127" s="319">
        <f t="shared" si="104"/>
        <v>35</v>
      </c>
      <c r="N127" s="320">
        <f t="shared" si="105"/>
        <v>0</v>
      </c>
      <c r="O127" s="321">
        <f t="shared" si="85"/>
        <v>0</v>
      </c>
      <c r="P127" s="322"/>
      <c r="Q127" s="323">
        <f t="shared" si="92"/>
        <v>69</v>
      </c>
      <c r="R127" s="324">
        <v>1</v>
      </c>
      <c r="S127" s="325">
        <f t="shared" si="77"/>
        <v>0</v>
      </c>
      <c r="T127" s="326">
        <f t="shared" si="86"/>
        <v>0</v>
      </c>
      <c r="U127" s="327"/>
      <c r="V127" s="328">
        <f t="shared" si="87"/>
        <v>0</v>
      </c>
      <c r="W127" s="390"/>
      <c r="X127" s="330"/>
      <c r="Y127" s="319">
        <v>35</v>
      </c>
      <c r="Z127" s="320"/>
      <c r="AA127" s="321"/>
      <c r="AB127" s="322"/>
      <c r="AC127" s="323">
        <f>AC116</f>
        <v>81</v>
      </c>
      <c r="AD127" s="324">
        <v>1</v>
      </c>
      <c r="AE127" s="325">
        <f t="shared" si="78"/>
        <v>0</v>
      </c>
      <c r="AF127" s="326"/>
      <c r="AG127" s="327"/>
      <c r="AH127" s="328">
        <f t="shared" si="88"/>
        <v>0</v>
      </c>
      <c r="AI127" s="390"/>
      <c r="AJ127" s="331">
        <f t="shared" si="89"/>
        <v>0</v>
      </c>
      <c r="AK127" s="163">
        <f t="shared" si="90"/>
        <v>0</v>
      </c>
      <c r="AL127" s="352"/>
      <c r="AM127" s="333">
        <f t="shared" si="91"/>
        <v>0</v>
      </c>
      <c r="AN127" s="334">
        <v>310</v>
      </c>
      <c r="AP127" s="335"/>
      <c r="AQ127" s="336"/>
      <c r="AR127" s="337"/>
      <c r="AS127" s="337"/>
      <c r="AT127" s="353"/>
      <c r="AU127" s="354"/>
      <c r="AV127" s="354"/>
      <c r="AW127" s="336"/>
      <c r="AX127" s="336"/>
    </row>
    <row r="128" spans="1:50" ht="18.75" customHeight="1">
      <c r="A128" s="374" t="s">
        <v>25</v>
      </c>
      <c r="B128" s="375"/>
      <c r="C128" s="375"/>
      <c r="D128" s="375"/>
      <c r="E128" s="375"/>
      <c r="F128" s="375"/>
      <c r="G128" s="375"/>
      <c r="H128" s="375"/>
      <c r="I128" s="376"/>
      <c r="J128" s="266">
        <f>SUM(J92:J127)</f>
        <v>26801.528086419752</v>
      </c>
      <c r="K128" s="390"/>
      <c r="L128" s="64"/>
      <c r="M128" s="374" t="s">
        <v>25</v>
      </c>
      <c r="N128" s="375"/>
      <c r="O128" s="375"/>
      <c r="P128" s="375"/>
      <c r="Q128" s="375"/>
      <c r="R128" s="375"/>
      <c r="S128" s="375"/>
      <c r="T128" s="375"/>
      <c r="U128" s="376"/>
      <c r="V128" s="266">
        <f>SUM(V92:V127)</f>
        <v>26801.528086419752</v>
      </c>
      <c r="W128" s="390"/>
      <c r="X128" s="76"/>
      <c r="Y128" s="374" t="s">
        <v>25</v>
      </c>
      <c r="Z128" s="375"/>
      <c r="AA128" s="375"/>
      <c r="AB128" s="375"/>
      <c r="AC128" s="375"/>
      <c r="AD128" s="375"/>
      <c r="AE128" s="375"/>
      <c r="AF128" s="375"/>
      <c r="AG128" s="376"/>
      <c r="AH128" s="266">
        <f>SUM(AH92:AH127)</f>
        <v>26816.528086419752</v>
      </c>
      <c r="AI128" s="390"/>
      <c r="AJ128" s="166">
        <f>AH128*AC121+V128*Q119+E119*J128</f>
        <v>4343062.55</v>
      </c>
      <c r="AK128" s="159">
        <f>SUM(AK92:AK127)</f>
        <v>4343062.55</v>
      </c>
      <c r="AL128" s="155"/>
      <c r="AO128" s="251"/>
      <c r="AP128" s="195"/>
      <c r="AQ128" s="195"/>
      <c r="AR128" s="195"/>
      <c r="AS128" s="253"/>
      <c r="AT128" s="253"/>
      <c r="AU128" s="253"/>
      <c r="AV128" s="195"/>
      <c r="AW128" s="195"/>
    </row>
    <row r="129" spans="1:49" ht="15" customHeight="1">
      <c r="A129" s="383" t="s">
        <v>87</v>
      </c>
      <c r="B129" s="384"/>
      <c r="C129" s="384"/>
      <c r="D129" s="384"/>
      <c r="E129" s="384"/>
      <c r="F129" s="384"/>
      <c r="G129" s="384"/>
      <c r="H129" s="384"/>
      <c r="I129" s="385"/>
      <c r="J129" s="259">
        <f>J60+J68+J70+J75+J78+J90+J128</f>
        <v>71074.153262716078</v>
      </c>
      <c r="K129" s="390"/>
      <c r="L129" s="64"/>
      <c r="M129" s="383" t="s">
        <v>87</v>
      </c>
      <c r="N129" s="384"/>
      <c r="O129" s="384"/>
      <c r="P129" s="384"/>
      <c r="Q129" s="384"/>
      <c r="R129" s="384"/>
      <c r="S129" s="384"/>
      <c r="T129" s="384"/>
      <c r="U129" s="385"/>
      <c r="V129" s="259">
        <f>V60+V68+V70+V75+V78+V90+V128</f>
        <v>71074.153262716078</v>
      </c>
      <c r="W129" s="390"/>
      <c r="X129" s="76"/>
      <c r="Y129" s="420" t="s">
        <v>219</v>
      </c>
      <c r="Z129" s="384"/>
      <c r="AA129" s="384"/>
      <c r="AB129" s="384"/>
      <c r="AC129" s="384"/>
      <c r="AD129" s="384"/>
      <c r="AE129" s="384"/>
      <c r="AF129" s="384"/>
      <c r="AG129" s="385"/>
      <c r="AH129" s="259">
        <f>AH60+AH68+AH70+AH75+AH78+AH90+AH128</f>
        <v>102361.44550271616</v>
      </c>
      <c r="AI129" s="390"/>
      <c r="AJ129" s="167">
        <f>AK128-AJ128</f>
        <v>0</v>
      </c>
      <c r="AO129" s="252"/>
      <c r="AP129" s="195"/>
      <c r="AQ129" s="195"/>
      <c r="AR129" s="195"/>
      <c r="AS129" s="253"/>
      <c r="AT129" s="253"/>
      <c r="AU129" s="253"/>
      <c r="AV129" s="195"/>
      <c r="AW129" s="195"/>
    </row>
    <row r="130" spans="1:49" ht="15" customHeight="1" thickBot="1">
      <c r="A130" s="386" t="s">
        <v>88</v>
      </c>
      <c r="B130" s="387"/>
      <c r="C130" s="387"/>
      <c r="D130" s="387"/>
      <c r="E130" s="387"/>
      <c r="F130" s="387"/>
      <c r="G130" s="387"/>
      <c r="H130" s="387"/>
      <c r="I130" s="388"/>
      <c r="J130" s="267">
        <f>J129+J51</f>
        <v>194785.3901392594</v>
      </c>
      <c r="K130" s="392"/>
      <c r="M130" s="386" t="s">
        <v>88</v>
      </c>
      <c r="N130" s="387"/>
      <c r="O130" s="387"/>
      <c r="P130" s="387"/>
      <c r="Q130" s="387"/>
      <c r="R130" s="387"/>
      <c r="S130" s="387"/>
      <c r="T130" s="387"/>
      <c r="U130" s="388"/>
      <c r="V130" s="267">
        <f>V129+V51</f>
        <v>148988.82221172308</v>
      </c>
      <c r="W130" s="392"/>
      <c r="Y130" s="386" t="s">
        <v>88</v>
      </c>
      <c r="Z130" s="387"/>
      <c r="AA130" s="387"/>
      <c r="AB130" s="387"/>
      <c r="AC130" s="387"/>
      <c r="AD130" s="387"/>
      <c r="AE130" s="387"/>
      <c r="AF130" s="387"/>
      <c r="AG130" s="388"/>
      <c r="AH130" s="267">
        <f>AH129+AH51</f>
        <v>140900.70476197542</v>
      </c>
      <c r="AI130" s="392"/>
      <c r="AO130" s="252"/>
      <c r="AP130" s="196"/>
      <c r="AQ130" s="196"/>
      <c r="AR130" s="196"/>
      <c r="AS130" s="195"/>
      <c r="AT130" s="195"/>
      <c r="AU130" s="195"/>
      <c r="AV130" s="195"/>
      <c r="AW130" s="195"/>
    </row>
    <row r="131" spans="1:49">
      <c r="I131" s="2">
        <f>E122</f>
        <v>12</v>
      </c>
      <c r="J131" s="268">
        <f>J130*I131</f>
        <v>2337424.6816711128</v>
      </c>
      <c r="U131" s="2">
        <f>Q122</f>
        <v>69</v>
      </c>
      <c r="V131" s="268">
        <f>V130*U131</f>
        <v>10280228.732608892</v>
      </c>
      <c r="AG131" s="2">
        <f>AC127</f>
        <v>81</v>
      </c>
      <c r="AH131" s="268">
        <f>AH130*AC127</f>
        <v>11412957.085720008</v>
      </c>
    </row>
    <row r="132" spans="1:49">
      <c r="J132" s="268"/>
      <c r="V132" s="268"/>
      <c r="AH132" s="268"/>
    </row>
    <row r="133" spans="1:49">
      <c r="AG133" s="168" t="s">
        <v>188</v>
      </c>
      <c r="AH133" s="273">
        <f>AH131+V131+J131</f>
        <v>24030610.500000015</v>
      </c>
      <c r="AJ133" s="8"/>
      <c r="AT133" s="16"/>
    </row>
    <row r="134" spans="1:49">
      <c r="AG134" s="122" t="s">
        <v>95</v>
      </c>
      <c r="AH134" s="274">
        <v>23122052.68</v>
      </c>
      <c r="AJ134" s="16"/>
    </row>
    <row r="135" spans="1:49">
      <c r="AE135" s="15"/>
      <c r="AF135" s="250" t="s">
        <v>216</v>
      </c>
      <c r="AG135" s="122" t="s">
        <v>189</v>
      </c>
      <c r="AH135" s="275">
        <v>908557.82</v>
      </c>
    </row>
    <row r="136" spans="1:49">
      <c r="AE136" s="16"/>
      <c r="AH136" s="276">
        <f>AH134+AH135-AH133</f>
        <v>0</v>
      </c>
    </row>
    <row r="138" spans="1:49">
      <c r="AE138" s="122" t="s">
        <v>207</v>
      </c>
      <c r="AF138" s="122" t="s">
        <v>208</v>
      </c>
    </row>
    <row r="139" spans="1:49">
      <c r="AC139" s="191" t="s">
        <v>203</v>
      </c>
      <c r="AE139" s="2">
        <v>74080</v>
      </c>
      <c r="AF139" s="2">
        <v>75880</v>
      </c>
      <c r="AG139" s="2">
        <v>18800</v>
      </c>
    </row>
    <row r="140" spans="1:49">
      <c r="AC140" s="122" t="s">
        <v>191</v>
      </c>
      <c r="AD140" s="189" t="s">
        <v>79</v>
      </c>
      <c r="AE140" s="156">
        <f>3590999.85+1084481.95</f>
        <v>4675481.8</v>
      </c>
      <c r="AF140" s="156">
        <f>5172347.93+1562049.07</f>
        <v>6734397</v>
      </c>
      <c r="AG140" s="156">
        <f>4067674.2+1228437.61</f>
        <v>5296111.8100000005</v>
      </c>
      <c r="AH140" s="244">
        <f>SUM(AE140:AG140)</f>
        <v>16705990.610000001</v>
      </c>
      <c r="AI140" s="156"/>
      <c r="AJ140" s="156"/>
    </row>
    <row r="141" spans="1:49">
      <c r="AC141" s="122" t="s">
        <v>192</v>
      </c>
      <c r="AD141" s="190">
        <v>212</v>
      </c>
      <c r="AE141" s="156">
        <v>25000</v>
      </c>
      <c r="AF141" s="156">
        <v>11250</v>
      </c>
      <c r="AG141" s="156"/>
      <c r="AH141" s="244">
        <f>SUM(AE141:AG141)</f>
        <v>36250</v>
      </c>
      <c r="AI141" s="156"/>
      <c r="AJ141" s="156"/>
    </row>
    <row r="142" spans="1:49">
      <c r="AC142" s="122" t="s">
        <v>193</v>
      </c>
      <c r="AD142" s="190">
        <v>212</v>
      </c>
      <c r="AE142" s="156"/>
      <c r="AF142" s="156"/>
      <c r="AG142" s="156">
        <v>2700</v>
      </c>
      <c r="AH142" s="244">
        <f t="shared" ref="AH142:AH151" si="107">SUM(AE142:AG142)</f>
        <v>2700</v>
      </c>
      <c r="AI142" s="156"/>
      <c r="AJ142" s="156"/>
    </row>
    <row r="143" spans="1:49">
      <c r="AC143" s="122" t="s">
        <v>194</v>
      </c>
      <c r="AD143" s="190">
        <v>221</v>
      </c>
      <c r="AE143" s="156">
        <v>60000</v>
      </c>
      <c r="AF143" s="156"/>
      <c r="AG143" s="156">
        <v>81925.440000000002</v>
      </c>
      <c r="AH143" s="244">
        <f t="shared" si="107"/>
        <v>141925.44</v>
      </c>
      <c r="AI143" s="156"/>
      <c r="AJ143" s="156"/>
    </row>
    <row r="144" spans="1:49">
      <c r="AC144" s="122" t="s">
        <v>195</v>
      </c>
      <c r="AD144" s="190">
        <v>222</v>
      </c>
      <c r="AE144" s="156"/>
      <c r="AF144" s="156"/>
      <c r="AG144" s="156">
        <v>15000</v>
      </c>
      <c r="AH144" s="244">
        <f t="shared" si="107"/>
        <v>15000</v>
      </c>
      <c r="AI144" s="156"/>
      <c r="AJ144" s="156"/>
    </row>
    <row r="145" spans="28:36">
      <c r="AC145" s="122" t="s">
        <v>196</v>
      </c>
      <c r="AD145" s="190">
        <v>223</v>
      </c>
      <c r="AE145" s="156"/>
      <c r="AF145" s="156"/>
      <c r="AG145" s="156">
        <v>2134482.39</v>
      </c>
      <c r="AH145" s="244">
        <f t="shared" si="107"/>
        <v>2134482.39</v>
      </c>
      <c r="AI145" s="156"/>
      <c r="AJ145" s="156"/>
    </row>
    <row r="146" spans="28:36">
      <c r="AC146" s="122" t="s">
        <v>202</v>
      </c>
      <c r="AD146" s="190"/>
      <c r="AE146" s="156"/>
      <c r="AF146" s="156"/>
      <c r="AG146" s="156"/>
      <c r="AH146" s="244">
        <f t="shared" si="107"/>
        <v>0</v>
      </c>
      <c r="AI146" s="156"/>
      <c r="AJ146" s="156"/>
    </row>
    <row r="147" spans="28:36">
      <c r="AB147" s="122"/>
      <c r="AC147" s="122" t="s">
        <v>197</v>
      </c>
      <c r="AD147" s="190">
        <v>225</v>
      </c>
      <c r="AE147" s="156"/>
      <c r="AF147" s="156"/>
      <c r="AG147" s="156">
        <v>488899.51</v>
      </c>
      <c r="AH147" s="244">
        <f t="shared" si="107"/>
        <v>488899.51</v>
      </c>
      <c r="AI147" s="156"/>
      <c r="AJ147" s="156"/>
    </row>
    <row r="148" spans="28:36">
      <c r="AC148" s="122" t="s">
        <v>198</v>
      </c>
      <c r="AD148" s="190">
        <v>226</v>
      </c>
      <c r="AE148" s="156">
        <v>100000</v>
      </c>
      <c r="AF148" s="156">
        <v>45000</v>
      </c>
      <c r="AG148" s="156">
        <v>395647.31</v>
      </c>
      <c r="AH148" s="244">
        <f t="shared" si="107"/>
        <v>540647.31000000006</v>
      </c>
      <c r="AI148" s="156"/>
      <c r="AJ148" s="156"/>
    </row>
    <row r="149" spans="28:36">
      <c r="AC149" s="122" t="s">
        <v>199</v>
      </c>
      <c r="AD149" s="190">
        <v>290</v>
      </c>
      <c r="AE149" s="156"/>
      <c r="AF149" s="156"/>
      <c r="AG149" s="156">
        <v>2000</v>
      </c>
      <c r="AH149" s="244">
        <f t="shared" si="107"/>
        <v>2000</v>
      </c>
      <c r="AI149" s="156"/>
      <c r="AJ149" s="156"/>
    </row>
    <row r="150" spans="28:36">
      <c r="AC150" s="122" t="s">
        <v>200</v>
      </c>
      <c r="AD150" s="190">
        <v>310</v>
      </c>
      <c r="AE150" s="156"/>
      <c r="AF150" s="156"/>
      <c r="AG150" s="156"/>
      <c r="AH150" s="244">
        <f t="shared" si="107"/>
        <v>0</v>
      </c>
      <c r="AI150" s="156"/>
      <c r="AJ150" s="156"/>
    </row>
    <row r="151" spans="28:36">
      <c r="AC151" s="122" t="s">
        <v>201</v>
      </c>
      <c r="AD151" s="7">
        <v>340</v>
      </c>
      <c r="AE151" s="156">
        <v>75000</v>
      </c>
      <c r="AF151" s="156">
        <v>70000</v>
      </c>
      <c r="AG151" s="156">
        <v>2909157.42</v>
      </c>
      <c r="AH151" s="244">
        <f t="shared" si="107"/>
        <v>3054157.42</v>
      </c>
      <c r="AI151" s="156"/>
      <c r="AJ151" s="156"/>
    </row>
    <row r="152" spans="28:36">
      <c r="AE152" s="156">
        <f>SUM(AE140:AE151)</f>
        <v>4935481.8</v>
      </c>
      <c r="AF152" s="156">
        <f>SUM(AF140:AF151)</f>
        <v>6860647</v>
      </c>
      <c r="AG152" s="156">
        <f>SUM(AG140:AG151)</f>
        <v>11325923.880000001</v>
      </c>
      <c r="AH152" s="244">
        <f>SUM(AH140:AH151)</f>
        <v>23122052.68</v>
      </c>
      <c r="AI152" s="249" t="s">
        <v>215</v>
      </c>
      <c r="AJ152" s="156">
        <f>AH134-AH152</f>
        <v>0</v>
      </c>
    </row>
    <row r="153" spans="28:36">
      <c r="AE153" s="156"/>
      <c r="AF153" s="156"/>
      <c r="AG153" s="156"/>
      <c r="AI153" s="156"/>
      <c r="AJ153" s="156"/>
    </row>
    <row r="154" spans="28:36">
      <c r="AE154" s="156"/>
      <c r="AF154" s="156"/>
      <c r="AG154" s="156"/>
      <c r="AI154" s="156"/>
      <c r="AJ154" s="156"/>
    </row>
    <row r="156" spans="28:36">
      <c r="AD156" s="2"/>
    </row>
    <row r="158" spans="28:36">
      <c r="AD158" s="2"/>
    </row>
    <row r="159" spans="28:36">
      <c r="AD159" s="2"/>
    </row>
    <row r="160" spans="28:36">
      <c r="AD160" s="2"/>
    </row>
    <row r="161" spans="30:30">
      <c r="AD161" s="2"/>
    </row>
    <row r="162" spans="30:30">
      <c r="AD162" s="2"/>
    </row>
    <row r="163" spans="30:30">
      <c r="AD163" s="2"/>
    </row>
    <row r="164" spans="30:30">
      <c r="AD164" s="2"/>
    </row>
  </sheetData>
  <mergeCells count="211">
    <mergeCell ref="W8:W14"/>
    <mergeCell ref="AI8:AI13"/>
    <mergeCell ref="AI77:AI78"/>
    <mergeCell ref="AI80:AI90"/>
    <mergeCell ref="AI92:AI130"/>
    <mergeCell ref="B1:J1"/>
    <mergeCell ref="K8:K14"/>
    <mergeCell ref="A15:K15"/>
    <mergeCell ref="A43:K43"/>
    <mergeCell ref="K47:K51"/>
    <mergeCell ref="K55:K60"/>
    <mergeCell ref="K62:K68"/>
    <mergeCell ref="K77:K78"/>
    <mergeCell ref="K72:K75"/>
    <mergeCell ref="M130:U130"/>
    <mergeCell ref="M129:U129"/>
    <mergeCell ref="M51:U51"/>
    <mergeCell ref="M79:W79"/>
    <mergeCell ref="M90:U90"/>
    <mergeCell ref="M91:W91"/>
    <mergeCell ref="M128:U128"/>
    <mergeCell ref="M78:U78"/>
    <mergeCell ref="M54:W54"/>
    <mergeCell ref="M61:W61"/>
    <mergeCell ref="Y128:AG128"/>
    <mergeCell ref="Y69:AI69"/>
    <mergeCell ref="Y70:AG70"/>
    <mergeCell ref="Y71:AI71"/>
    <mergeCell ref="W77:W78"/>
    <mergeCell ref="W80:W90"/>
    <mergeCell ref="O47:P47"/>
    <mergeCell ref="O48:P48"/>
    <mergeCell ref="O49:P49"/>
    <mergeCell ref="M50:U50"/>
    <mergeCell ref="W92:W130"/>
    <mergeCell ref="Y129:AG129"/>
    <mergeCell ref="Y130:AG130"/>
    <mergeCell ref="M70:U70"/>
    <mergeCell ref="M71:W71"/>
    <mergeCell ref="M75:U75"/>
    <mergeCell ref="M76:W76"/>
    <mergeCell ref="M60:U60"/>
    <mergeCell ref="W47:W51"/>
    <mergeCell ref="W55:W60"/>
    <mergeCell ref="W62:W68"/>
    <mergeCell ref="W72:W75"/>
    <mergeCell ref="Y90:AG90"/>
    <mergeCell ref="Y91:AI91"/>
    <mergeCell ref="Y75:AG75"/>
    <mergeCell ref="Y76:AI76"/>
    <mergeCell ref="AI47:AI51"/>
    <mergeCell ref="AI55:AI60"/>
    <mergeCell ref="AI62:AI68"/>
    <mergeCell ref="AI72:AI75"/>
    <mergeCell ref="AA37:AB37"/>
    <mergeCell ref="Y78:AG78"/>
    <mergeCell ref="Y79:AI79"/>
    <mergeCell ref="AA41:AB41"/>
    <mergeCell ref="Y42:AG42"/>
    <mergeCell ref="AA44:AB44"/>
    <mergeCell ref="AA45:AB45"/>
    <mergeCell ref="Y46:AI46"/>
    <mergeCell ref="Y68:AG68"/>
    <mergeCell ref="AA47:AB47"/>
    <mergeCell ref="AA48:AB48"/>
    <mergeCell ref="AA49:AB49"/>
    <mergeCell ref="Y51:AG51"/>
    <mergeCell ref="Y54:AI54"/>
    <mergeCell ref="Y60:AG60"/>
    <mergeCell ref="Y61:AI61"/>
    <mergeCell ref="Y50:AG50"/>
    <mergeCell ref="Y14:AG14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3:AB13"/>
    <mergeCell ref="AA16:AB16"/>
    <mergeCell ref="AA17:AB17"/>
    <mergeCell ref="Y18:AI18"/>
    <mergeCell ref="AA19:AB19"/>
    <mergeCell ref="AI19:AI42"/>
    <mergeCell ref="AA20:AB20"/>
    <mergeCell ref="AA21:AB21"/>
    <mergeCell ref="AA22:AB22"/>
    <mergeCell ref="AA23:AB23"/>
    <mergeCell ref="AA24:AB24"/>
    <mergeCell ref="AA33:AB33"/>
    <mergeCell ref="AA34:AB34"/>
    <mergeCell ref="AA35:AB35"/>
    <mergeCell ref="AA36:AB36"/>
    <mergeCell ref="O30:P30"/>
    <mergeCell ref="M68:U68"/>
    <mergeCell ref="M69:W69"/>
    <mergeCell ref="O5:P5"/>
    <mergeCell ref="O6:P6"/>
    <mergeCell ref="O9:P9"/>
    <mergeCell ref="O10:P10"/>
    <mergeCell ref="O41:P41"/>
    <mergeCell ref="O44:P44"/>
    <mergeCell ref="O27:P27"/>
    <mergeCell ref="O12:P12"/>
    <mergeCell ref="O13:P13"/>
    <mergeCell ref="O16:P16"/>
    <mergeCell ref="O11:P11"/>
    <mergeCell ref="M7:W7"/>
    <mergeCell ref="O8:P8"/>
    <mergeCell ref="M46:W46"/>
    <mergeCell ref="M42:U42"/>
    <mergeCell ref="O21:P21"/>
    <mergeCell ref="O22:P22"/>
    <mergeCell ref="O23:P23"/>
    <mergeCell ref="O17:P17"/>
    <mergeCell ref="O19:P19"/>
    <mergeCell ref="O20:P20"/>
    <mergeCell ref="AS9:AS14"/>
    <mergeCell ref="M18:W18"/>
    <mergeCell ref="C9:D9"/>
    <mergeCell ref="C10:D10"/>
    <mergeCell ref="C11:D11"/>
    <mergeCell ref="C12:D12"/>
    <mergeCell ref="O45:P45"/>
    <mergeCell ref="O28:P28"/>
    <mergeCell ref="O29:P29"/>
    <mergeCell ref="O32:P32"/>
    <mergeCell ref="O31:P31"/>
    <mergeCell ref="O24:P24"/>
    <mergeCell ref="O25:P25"/>
    <mergeCell ref="O26:P26"/>
    <mergeCell ref="AA29:AB29"/>
    <mergeCell ref="AA30:AB30"/>
    <mergeCell ref="AA31:AB31"/>
    <mergeCell ref="AA32:AB32"/>
    <mergeCell ref="AA25:AB25"/>
    <mergeCell ref="AA26:AB26"/>
    <mergeCell ref="AA27:AB27"/>
    <mergeCell ref="AA28:AB28"/>
    <mergeCell ref="M14:U14"/>
    <mergeCell ref="W19:W42"/>
    <mergeCell ref="C5:D5"/>
    <mergeCell ref="C6:D6"/>
    <mergeCell ref="A7:K7"/>
    <mergeCell ref="C8:D8"/>
    <mergeCell ref="C31:D31"/>
    <mergeCell ref="C41:D41"/>
    <mergeCell ref="C23:D23"/>
    <mergeCell ref="C24:D24"/>
    <mergeCell ref="C25:D25"/>
    <mergeCell ref="C26:D26"/>
    <mergeCell ref="C13:D13"/>
    <mergeCell ref="A14:I14"/>
    <mergeCell ref="C16:D16"/>
    <mergeCell ref="C17:D17"/>
    <mergeCell ref="A18:K18"/>
    <mergeCell ref="C19:D19"/>
    <mergeCell ref="K19:K42"/>
    <mergeCell ref="C20:D20"/>
    <mergeCell ref="C21:D21"/>
    <mergeCell ref="C22:D22"/>
    <mergeCell ref="A42:I42"/>
    <mergeCell ref="C32:D32"/>
    <mergeCell ref="C27:D27"/>
    <mergeCell ref="C28:D28"/>
    <mergeCell ref="C29:D29"/>
    <mergeCell ref="C30:D30"/>
    <mergeCell ref="C44:D44"/>
    <mergeCell ref="C45:D45"/>
    <mergeCell ref="A46:K46"/>
    <mergeCell ref="C47:D47"/>
    <mergeCell ref="C48:D48"/>
    <mergeCell ref="C49:D49"/>
    <mergeCell ref="A50:I50"/>
    <mergeCell ref="A51:I51"/>
    <mergeCell ref="A78:I78"/>
    <mergeCell ref="A79:K79"/>
    <mergeCell ref="A90:I90"/>
    <mergeCell ref="A91:K91"/>
    <mergeCell ref="A128:I128"/>
    <mergeCell ref="A129:I129"/>
    <mergeCell ref="A130:I130"/>
    <mergeCell ref="A54:K54"/>
    <mergeCell ref="A60:I60"/>
    <mergeCell ref="A61:K61"/>
    <mergeCell ref="A68:I68"/>
    <mergeCell ref="A69:K69"/>
    <mergeCell ref="A70:I70"/>
    <mergeCell ref="A71:K71"/>
    <mergeCell ref="A75:I75"/>
    <mergeCell ref="A76:K76"/>
    <mergeCell ref="K80:K90"/>
    <mergeCell ref="K92:K130"/>
    <mergeCell ref="O33:P33"/>
    <mergeCell ref="O34:P34"/>
    <mergeCell ref="O35:P35"/>
    <mergeCell ref="O36:P36"/>
    <mergeCell ref="O37:P37"/>
    <mergeCell ref="O38:P38"/>
    <mergeCell ref="O39:P39"/>
    <mergeCell ref="O40:P40"/>
    <mergeCell ref="C33:D33"/>
    <mergeCell ref="C34:D34"/>
    <mergeCell ref="C35:D35"/>
    <mergeCell ref="C36:D36"/>
    <mergeCell ref="C37:D37"/>
    <mergeCell ref="C38:D38"/>
    <mergeCell ref="C39:D39"/>
    <mergeCell ref="C40:D40"/>
  </mergeCells>
  <phoneticPr fontId="38" type="noConversion"/>
  <hyperlinks>
    <hyperlink ref="Y129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0" min="12" max="22" man="1"/>
  </rowBreaks>
  <colBreaks count="2" manualBreakCount="2">
    <brk id="12" max="138" man="1"/>
    <brk id="23" max="1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2021-02-01T09:11:19Z</cp:lastPrinted>
  <dcterms:created xsi:type="dcterms:W3CDTF">2015-01-28T06:12:04Z</dcterms:created>
  <dcterms:modified xsi:type="dcterms:W3CDTF">2021-02-01T09:11:25Z</dcterms:modified>
</cp:coreProperties>
</file>